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21120" windowHeight="15255" tabRatio="824" firstSheet="1" activeTab="1"/>
  </bookViews>
  <sheets>
    <sheet name="Preklady" sheetId="1" state="veryHidden" r:id="rId1"/>
    <sheet name="Odhad tepelných strát" sheetId="2" r:id="rId2"/>
    <sheet name="Straty" sheetId="3" state="veryHidden" r:id="rId3"/>
    <sheet name="Výber radiátora" sheetId="4" r:id="rId4"/>
    <sheet name="Vymeň starý za nový" sheetId="5" r:id="rId5"/>
    <sheet name="Iné teplotné podmienky" sheetId="6" r:id="rId6"/>
    <sheet name="Technické údaje" sheetId="7" r:id="rId7"/>
    <sheet name="podmienky" sheetId="8" state="veryHidden" r:id="rId8"/>
    <sheet name="údaje" sheetId="9" state="veryHidden" r:id="rId9"/>
    <sheet name="starý" sheetId="10" state="veryHidden" r:id="rId10"/>
    <sheet name="výber" sheetId="11" state="veryHidden" r:id="rId11"/>
    <sheet name="Prednast. ventilovej vložky" sheetId="12" r:id="rId12"/>
    <sheet name="Vložka" sheetId="13" state="veryHidden" r:id="rId13"/>
  </sheets>
  <definedNames/>
  <calcPr fullCalcOnLoad="1"/>
</workbook>
</file>

<file path=xl/comments11.xml><?xml version="1.0" encoding="utf-8"?>
<comments xmlns="http://schemas.openxmlformats.org/spreadsheetml/2006/main">
  <authors>
    <author>User</author>
  </authors>
  <commentList>
    <comment ref="D8" authorId="0">
      <text>
        <r>
          <rPr>
            <b/>
            <sz val="10"/>
            <rFont val="Tahoma"/>
            <family val="2"/>
          </rPr>
          <t>C&gt;=0,7</t>
        </r>
        <r>
          <rPr>
            <sz val="8"/>
            <rFont val="Tahoma"/>
            <family val="2"/>
          </rPr>
          <t xml:space="preserve">
</t>
        </r>
      </text>
    </comment>
    <comment ref="D9" authorId="0">
      <text>
        <r>
          <rPr>
            <b/>
            <sz val="10"/>
            <rFont val="Tahoma"/>
            <family val="2"/>
          </rPr>
          <t>C&lt;0,7</t>
        </r>
        <r>
          <rPr>
            <sz val="8"/>
            <rFont val="Tahoma"/>
            <family val="2"/>
          </rPr>
          <t xml:space="preserve">
</t>
        </r>
      </text>
    </comment>
  </commentList>
</comments>
</file>

<file path=xl/comments13.xml><?xml version="1.0" encoding="utf-8"?>
<comments xmlns="http://schemas.openxmlformats.org/spreadsheetml/2006/main">
  <authors>
    <author>User</author>
  </authors>
  <commentList>
    <comment ref="D8" authorId="0">
      <text>
        <r>
          <rPr>
            <b/>
            <sz val="10"/>
            <rFont val="Tahoma"/>
            <family val="2"/>
          </rPr>
          <t>C&gt;=0,7</t>
        </r>
        <r>
          <rPr>
            <sz val="8"/>
            <rFont val="Tahoma"/>
            <family val="2"/>
          </rPr>
          <t xml:space="preserve">
</t>
        </r>
      </text>
    </comment>
    <comment ref="D9" authorId="0">
      <text>
        <r>
          <rPr>
            <b/>
            <sz val="10"/>
            <rFont val="Tahoma"/>
            <family val="2"/>
          </rPr>
          <t>C&lt;0,7</t>
        </r>
        <r>
          <rPr>
            <sz val="8"/>
            <rFont val="Tahoma"/>
            <family val="2"/>
          </rPr>
          <t xml:space="preserve">
</t>
        </r>
      </text>
    </comment>
  </commentList>
</comments>
</file>

<file path=xl/comments8.xml><?xml version="1.0" encoding="utf-8"?>
<comments xmlns="http://schemas.openxmlformats.org/spreadsheetml/2006/main">
  <authors>
    <author>User</author>
  </authors>
  <commentList>
    <comment ref="D8" authorId="0">
      <text>
        <r>
          <rPr>
            <b/>
            <sz val="10"/>
            <rFont val="Tahoma"/>
            <family val="2"/>
          </rPr>
          <t>C&gt;=0,7</t>
        </r>
        <r>
          <rPr>
            <sz val="8"/>
            <rFont val="Tahoma"/>
            <family val="2"/>
          </rPr>
          <t xml:space="preserve">
</t>
        </r>
      </text>
    </comment>
    <comment ref="D9" authorId="0">
      <text>
        <r>
          <rPr>
            <b/>
            <sz val="10"/>
            <rFont val="Tahoma"/>
            <family val="2"/>
          </rPr>
          <t>C&lt;0,7</t>
        </r>
        <r>
          <rPr>
            <sz val="8"/>
            <rFont val="Tahoma"/>
            <family val="2"/>
          </rPr>
          <t xml:space="preserve">
</t>
        </r>
      </text>
    </comment>
  </commentList>
</comments>
</file>

<file path=xl/comments9.xml><?xml version="1.0" encoding="utf-8"?>
<comments xmlns="http://schemas.openxmlformats.org/spreadsheetml/2006/main">
  <authors>
    <author>zel7632</author>
  </authors>
  <commentList>
    <comment ref="C74" authorId="0">
      <text>
        <r>
          <rPr>
            <sz val="8"/>
            <rFont val="Tahoma"/>
            <family val="2"/>
          </rPr>
          <t>Hmotnosť hladkej čelnej plochy je 8,75 kg/m2</t>
        </r>
      </text>
    </comment>
  </commentList>
</comments>
</file>

<file path=xl/sharedStrings.xml><?xml version="1.0" encoding="utf-8"?>
<sst xmlns="http://schemas.openxmlformats.org/spreadsheetml/2006/main" count="707" uniqueCount="459">
  <si>
    <t>Typ</t>
  </si>
  <si>
    <t>Výšky</t>
  </si>
  <si>
    <t>Typ: 11K, 11VK</t>
  </si>
  <si>
    <t xml:space="preserve"> Výška
 [mm]</t>
  </si>
  <si>
    <t>n</t>
  </si>
  <si>
    <t>Typ: 21K, 21VK</t>
  </si>
  <si>
    <t>vstupná teplota [°C]</t>
  </si>
  <si>
    <t>výstupná teplota [°C]</t>
  </si>
  <si>
    <t>teplota miestnosti [°C]</t>
  </si>
  <si>
    <t>Typ: 22K, 22VK</t>
  </si>
  <si>
    <t>Typ: 33K, 33VK</t>
  </si>
  <si>
    <t>Typ: 20K, 20VK</t>
  </si>
  <si>
    <t>Vybrané</t>
  </si>
  <si>
    <t>W/m</t>
  </si>
  <si>
    <t>Tepoty</t>
  </si>
  <si>
    <t>index dĺžky</t>
  </si>
  <si>
    <t>Typ: 10K, 10VK</t>
  </si>
  <si>
    <t>Typ: 30K, 30VK</t>
  </si>
  <si>
    <t>dĺžka dole</t>
  </si>
  <si>
    <t>W dole</t>
  </si>
  <si>
    <t>dĺžka hore</t>
  </si>
  <si>
    <t>W hore</t>
  </si>
  <si>
    <t>Požadovaný výkon</t>
  </si>
  <si>
    <t>logdole</t>
  </si>
  <si>
    <t>loghore</t>
  </si>
  <si>
    <t>Liatinové radiátory</t>
  </si>
  <si>
    <t>Oceľové radiátory</t>
  </si>
  <si>
    <t>Staré panelové</t>
  </si>
  <si>
    <t>Rozmer</t>
  </si>
  <si>
    <t>Výkon</t>
  </si>
  <si>
    <t>300 x 200</t>
  </si>
  <si>
    <t>jednopanelové</t>
  </si>
  <si>
    <t>500 x 100</t>
  </si>
  <si>
    <t>500 x 150</t>
  </si>
  <si>
    <t>jednopanelové s konvektorom</t>
  </si>
  <si>
    <t>500 x 110</t>
  </si>
  <si>
    <t>500 x 200</t>
  </si>
  <si>
    <t>dvojpanelové</t>
  </si>
  <si>
    <t>1000 x 100</t>
  </si>
  <si>
    <t>dvojpanelové s jedným konvektorom</t>
  </si>
  <si>
    <t>500 x 160</t>
  </si>
  <si>
    <t>1000 x 150</t>
  </si>
  <si>
    <t>dvojpanelové s dvoma konvektormi</t>
  </si>
  <si>
    <t>1000 x 200</t>
  </si>
  <si>
    <t>500 x 220</t>
  </si>
  <si>
    <t>voľba</t>
  </si>
  <si>
    <t>600 x 100</t>
  </si>
  <si>
    <t>Dĺžky</t>
  </si>
  <si>
    <t>600 x 200</t>
  </si>
  <si>
    <t>Voľba radiátora</t>
  </si>
  <si>
    <t>výška [mm]</t>
  </si>
  <si>
    <t>voľba riadku</t>
  </si>
  <si>
    <t>Dĺžka [m]</t>
  </si>
  <si>
    <t>Odpovedajúci výkon</t>
  </si>
  <si>
    <t>Rozmery článku [mm]</t>
  </si>
  <si>
    <t>Počet článkov</t>
  </si>
  <si>
    <t>75/65/20°C   [W]</t>
  </si>
  <si>
    <t>75/65/20°C</t>
  </si>
  <si>
    <t>Liatinové článkové radiátory</t>
  </si>
  <si>
    <t>Oceľové článkové radiátory</t>
  </si>
  <si>
    <t>Panelové radiátory (krok 40mm)</t>
  </si>
  <si>
    <t>600 x 160</t>
  </si>
  <si>
    <t>300 x 220</t>
  </si>
  <si>
    <t>600 x 220</t>
  </si>
  <si>
    <t>1000 x 160</t>
  </si>
  <si>
    <t>1000 x 220</t>
  </si>
  <si>
    <t>K</t>
  </si>
  <si>
    <t>C =</t>
  </si>
  <si>
    <r>
      <t>D</t>
    </r>
    <r>
      <rPr>
        <sz val="10"/>
        <rFont val="Arial"/>
        <family val="2"/>
      </rPr>
      <t>T1 =</t>
    </r>
  </si>
  <si>
    <r>
      <t>D</t>
    </r>
    <r>
      <rPr>
        <sz val="10"/>
        <rFont val="Arial"/>
        <family val="2"/>
      </rPr>
      <t>T2 =</t>
    </r>
  </si>
  <si>
    <t>N6</t>
  </si>
  <si>
    <t>jednoduché</t>
  </si>
  <si>
    <t>zdvojené</t>
  </si>
  <si>
    <t>Výška</t>
  </si>
  <si>
    <t>Dĺžka</t>
  </si>
  <si>
    <t>Voľba</t>
  </si>
  <si>
    <t>Vybraný výkon</t>
  </si>
  <si>
    <t>typ</t>
  </si>
  <si>
    <t>výška</t>
  </si>
  <si>
    <t>hmotnosť</t>
  </si>
  <si>
    <t>objem</t>
  </si>
  <si>
    <t>výkon</t>
  </si>
  <si>
    <t>typy</t>
  </si>
  <si>
    <t>Výber</t>
  </si>
  <si>
    <t>výšky</t>
  </si>
  <si>
    <t>n              [ - ]</t>
  </si>
  <si>
    <t>Celková hmotnosť [kg]</t>
  </si>
  <si>
    <t>Celkový objem         [ l ]</t>
  </si>
  <si>
    <t>Sumarizácia</t>
  </si>
  <si>
    <t>Zoznam radiátorov</t>
  </si>
  <si>
    <t>Výber radiátora</t>
  </si>
  <si>
    <t>Hmotnosť    [kg]</t>
  </si>
  <si>
    <t>Objem         [ l ]</t>
  </si>
  <si>
    <t>Celkový výkon             [ kW ]</t>
  </si>
  <si>
    <t>strojnásobené</t>
  </si>
  <si>
    <t>Typy</t>
  </si>
  <si>
    <t>výber</t>
  </si>
  <si>
    <t>Okno</t>
  </si>
  <si>
    <t>Vypočítané hodnoty</t>
  </si>
  <si>
    <t>mm</t>
  </si>
  <si>
    <t>°C</t>
  </si>
  <si>
    <t>Výpočtové teploty</t>
  </si>
  <si>
    <t>Doporučené telesá:</t>
  </si>
  <si>
    <t>Odchýlka</t>
  </si>
  <si>
    <t>Tepelná strata miestnosti Q =</t>
  </si>
  <si>
    <t>W</t>
  </si>
  <si>
    <t>Požad. výkon</t>
  </si>
  <si>
    <t>Výkon zápis</t>
  </si>
  <si>
    <t>Dĺžka zápis</t>
  </si>
  <si>
    <t>Starý radiátor</t>
  </si>
  <si>
    <t>Nový radiátor</t>
  </si>
  <si>
    <t>900 x 70</t>
  </si>
  <si>
    <t>350 x 160</t>
  </si>
  <si>
    <t>500 x 70</t>
  </si>
  <si>
    <t>600 x 70</t>
  </si>
  <si>
    <t>900 x 160</t>
  </si>
  <si>
    <t>Odhad tepelných strát</t>
  </si>
  <si>
    <t>Rozmery miestnosti</t>
  </si>
  <si>
    <t>Objem miestnosti</t>
  </si>
  <si>
    <t>m</t>
  </si>
  <si>
    <t>Typ a poloha miestnosti</t>
  </si>
  <si>
    <t>Odhadovaná tepelná strata miestnosti =</t>
  </si>
  <si>
    <r>
      <t>m</t>
    </r>
    <r>
      <rPr>
        <b/>
        <vertAlign val="superscript"/>
        <sz val="10"/>
        <rFont val="Arial"/>
        <family val="2"/>
      </rPr>
      <t>3</t>
    </r>
  </si>
  <si>
    <t>Rohová s 1 oknom, nad nevykurovanou miestnosťou, zhora ochladzovaná</t>
  </si>
  <si>
    <t>Rohová s 1 oknom, nad nevykurovanou miestnosťou, zhora izolovaná</t>
  </si>
  <si>
    <t>Rohová s 1 oknom, nad vykurovanou miestnosťou, zhora ochladzovaná</t>
  </si>
  <si>
    <t>Rohová s 2 oknami, nad nevykurovanou miestnosťou, zhora ochladzovaná</t>
  </si>
  <si>
    <t>Rohová s 2 oknami, nad nevykurovanou miestnosťou, zhora izolovaná</t>
  </si>
  <si>
    <t>Rohová s 2 oknami, nad vykurovanou miestnosťou, zhora ochladzovaná</t>
  </si>
  <si>
    <t>Vnútorná, nad nevykurovanou miestnosťou, zhora ochladzovaná</t>
  </si>
  <si>
    <t>Vnútorná, nad nevykurovanou miestnosťou, zhora izolovaná</t>
  </si>
  <si>
    <t>Vnútorná, nad vykurovanou miestnosťou, zhora izolovaná</t>
  </si>
  <si>
    <t>Kúpeľňa v obvodovej miestnosti</t>
  </si>
  <si>
    <t>Kúpeľňa vo vnútornej miestnosti</t>
  </si>
  <si>
    <t>Predsieň</t>
  </si>
  <si>
    <t>Schodište</t>
  </si>
  <si>
    <t xml:space="preserve">Prepočet tepelných výkonov zohľadňuje logaritmický priebeh zmeny tepelných výkonov pri nízkych teplotách, teda ak podiel </t>
  </si>
  <si>
    <t>Iné teplotné podmienky</t>
  </si>
  <si>
    <t>Rohová s 1 oknom, nad vykurovanou miestnosťou, zhora izolovaná</t>
  </si>
  <si>
    <t>Rohová s 2 oknami, nad vykurovanou miestnosťou, zhora izolovaná</t>
  </si>
  <si>
    <t>* Odhadovaná strata predstavuje len orientačnú hodnotu. K presnému určeniu hodnoty tepelných strát je potrebný výpočet podľa STN EN 12831.</t>
  </si>
  <si>
    <t>600 x 150</t>
  </si>
  <si>
    <t>Úprava</t>
  </si>
  <si>
    <t>Kompakt</t>
  </si>
  <si>
    <t>VK</t>
  </si>
  <si>
    <t>Plan</t>
  </si>
  <si>
    <t>Výpočet Kompakt</t>
  </si>
  <si>
    <t>Výpočet Kompakt Plan</t>
  </si>
  <si>
    <t>Výpočet VK</t>
  </si>
  <si>
    <t>Výpočet VK Plan</t>
  </si>
  <si>
    <t>Kompakt Plan</t>
  </si>
  <si>
    <t>VK Plan</t>
  </si>
  <si>
    <t>K Plan</t>
  </si>
  <si>
    <t>Teploty</t>
  </si>
  <si>
    <t>PLAN</t>
  </si>
  <si>
    <r>
      <t>W/m</t>
    </r>
    <r>
      <rPr>
        <vertAlign val="superscript"/>
        <sz val="9"/>
        <rFont val="Arial"/>
        <family val="2"/>
      </rPr>
      <t>2</t>
    </r>
    <r>
      <rPr>
        <sz val="10"/>
        <rFont val="Arial"/>
        <family val="2"/>
      </rPr>
      <t>K</t>
    </r>
  </si>
  <si>
    <t xml:space="preserve">Typ: 20K, 20VK </t>
  </si>
  <si>
    <t>Typ: 20W</t>
  </si>
  <si>
    <t>20W</t>
  </si>
  <si>
    <r>
      <t>20</t>
    </r>
    <r>
      <rPr>
        <b/>
        <sz val="10"/>
        <rFont val="Arial"/>
        <family val="2"/>
      </rPr>
      <t>W</t>
    </r>
  </si>
  <si>
    <t>max-min</t>
  </si>
  <si>
    <t>vyp.dlžka</t>
  </si>
  <si>
    <t>550par</t>
  </si>
  <si>
    <t>550dlhe</t>
  </si>
  <si>
    <t>N/A</t>
  </si>
  <si>
    <t>SK</t>
  </si>
  <si>
    <t>ENG</t>
  </si>
  <si>
    <t>RUS</t>
  </si>
  <si>
    <t>Vymeň starý za nový</t>
  </si>
  <si>
    <t>Technické údaje</t>
  </si>
  <si>
    <t>Heat Loss Estimation</t>
  </si>
  <si>
    <t>Selection Of  Radiator</t>
  </si>
  <si>
    <t>Change Your Old Radiator</t>
  </si>
  <si>
    <t>Other Conditions</t>
  </si>
  <si>
    <t>Technical Data</t>
  </si>
  <si>
    <t>Corner room with 1 window, above unheated room, cool from the top</t>
  </si>
  <si>
    <t>Corner room with 1 window, above unheated room, insulated from the top</t>
  </si>
  <si>
    <t>Corner room with 1 window, above heated room, cool from the top</t>
  </si>
  <si>
    <t>Corner room with 1 window, above heated room, insulated from the top</t>
  </si>
  <si>
    <t>Corner room with 2 windows, above unheated room, cool from the top</t>
  </si>
  <si>
    <t>Corner room with 2 windows, above unheated room, insulated from the top</t>
  </si>
  <si>
    <t>Corner room with 2 windows, above heated room, cool from the top</t>
  </si>
  <si>
    <t>Corner room with 2 windows, above heated room, insulated from the top</t>
  </si>
  <si>
    <t>Inner room, above unheated room, cool from the top</t>
  </si>
  <si>
    <t>Inner room, above unheated room, insulated from the top</t>
  </si>
  <si>
    <t>Inner room, above heated room, insulated from the top</t>
  </si>
  <si>
    <t>Bathroom in enclosure room</t>
  </si>
  <si>
    <t>Bathroom in inner room</t>
  </si>
  <si>
    <t>Hall</t>
  </si>
  <si>
    <t>Stairway</t>
  </si>
  <si>
    <t>* Estimated heat loss is only informative. For accurate evaluation of heat loss, it is necessary to make calculation according to EN 12831.</t>
  </si>
  <si>
    <t>Total estimated heat loss =</t>
  </si>
  <si>
    <t>Type and position of room</t>
  </si>
  <si>
    <t>Room volume</t>
  </si>
  <si>
    <t>Room size</t>
  </si>
  <si>
    <t>Súč. prechodu tepla U =</t>
  </si>
  <si>
    <t>Miestnosť   ti =</t>
  </si>
  <si>
    <t>Vonkajšia  te =</t>
  </si>
  <si>
    <t>Vstupná teplota vody  t1 =</t>
  </si>
  <si>
    <t>Teplotný rozdiel t1-t2 =</t>
  </si>
  <si>
    <t>Výstupná teplota vody  t2 =</t>
  </si>
  <si>
    <t>Výška radiátora doporučená Hdop =</t>
  </si>
  <si>
    <t xml:space="preserve">Vyber výšku radiátora H = </t>
  </si>
  <si>
    <t>Window</t>
  </si>
  <si>
    <t xml:space="preserve"> Heat transfer coefficient U =</t>
  </si>
  <si>
    <t>Calculation temperatures</t>
  </si>
  <si>
    <t>Ambient   ti =</t>
  </si>
  <si>
    <t>External  te =</t>
  </si>
  <si>
    <t>Inlet water  t1 =</t>
  </si>
  <si>
    <t>Temperature difference t1-t2 =</t>
  </si>
  <si>
    <t>Outlet water  t2 =</t>
  </si>
  <si>
    <t>Required output</t>
  </si>
  <si>
    <t>Room heat loss Q =</t>
  </si>
  <si>
    <t>Calculated values</t>
  </si>
  <si>
    <t>Recommended radiator height Hrec =</t>
  </si>
  <si>
    <t xml:space="preserve">Select radiator heigth H = </t>
  </si>
  <si>
    <t>Recommended radiators:</t>
  </si>
  <si>
    <t>Type</t>
  </si>
  <si>
    <t>Length</t>
  </si>
  <si>
    <t>Output</t>
  </si>
  <si>
    <t>Difference</t>
  </si>
  <si>
    <t>Doskové telesá N6</t>
  </si>
  <si>
    <t>Výška x hĺbka</t>
  </si>
  <si>
    <t>Výška (mm)</t>
  </si>
  <si>
    <t>Dĺžka (mm)</t>
  </si>
  <si>
    <t>Tabuľka tepelných výkonov [W]</t>
  </si>
  <si>
    <t>V tabuľke 1 vyberte radiátor zadaním typu, výšky a dĺžky. Zaškrtnutím políčka zvoľte prípadnú úpravu. Automaticky mu budú potom priradené technické parametre. Po zatlačení tlačítka "Kopíruj do zoznamu"  sa parametre vybraného radiátora skopírujú do tabuľky 2. V prípade, že chcete vybrať viac rovnakých radiátorov, postačí opätovné zatlačenie tlačítka. Do zoznamu je možné zadať maximálne 20 radiátorov. V tabuľke 3 nájdete potom súčet jednotlivých parametrov vybraných radiátorov. Pred zadávaním novej skupiny radiátorov je potrebné premazať zoznam tlačítkom "Zmaž zoznam".</t>
  </si>
  <si>
    <t>Označenie "N/A" znamená, že daný typ, či rozmer nie je k dispozícii.</t>
  </si>
  <si>
    <t>Old Radiator</t>
  </si>
  <si>
    <t>Cast - iron sectional radiators</t>
  </si>
  <si>
    <t>single panel</t>
  </si>
  <si>
    <t>single panel with fin</t>
  </si>
  <si>
    <t>double panel</t>
  </si>
  <si>
    <t>double panel with one fin</t>
  </si>
  <si>
    <t>double panel with two fins</t>
  </si>
  <si>
    <t>single</t>
  </si>
  <si>
    <t>double</t>
  </si>
  <si>
    <t>triple</t>
  </si>
  <si>
    <t>* The column height is only the spacing between the water connections.  The actual column height is greater than about 80 mm.                                                                                           ** Heating output of old radiators is listed for information purposes only.</t>
  </si>
  <si>
    <t>Steel sectional radiators</t>
  </si>
  <si>
    <t>Panel radiators (pitch 40mm)</t>
  </si>
  <si>
    <t>Panel radiators N6</t>
  </si>
  <si>
    <t>Column dimensions [mm]</t>
  </si>
  <si>
    <t>Columns</t>
  </si>
  <si>
    <t>Corresponding output</t>
  </si>
  <si>
    <t>height x depth</t>
  </si>
  <si>
    <t>Height [mm]</t>
  </si>
  <si>
    <t>Length [mm]</t>
  </si>
  <si>
    <t>New Radiator</t>
  </si>
  <si>
    <t>Heating outputs [W]</t>
  </si>
  <si>
    <t>The heating output calculation accounts for the logarithmic character of changes in the thermal output at low temperatures, meaning:</t>
  </si>
  <si>
    <t>Weight    [kg]</t>
  </si>
  <si>
    <t>Volume        [ l ]</t>
  </si>
  <si>
    <t>Modification</t>
  </si>
  <si>
    <t>Total</t>
  </si>
  <si>
    <t>Total weight [kg]</t>
  </si>
  <si>
    <t>Total volume         [ l ]</t>
  </si>
  <si>
    <t>Total output             [ kW ]</t>
  </si>
  <si>
    <t>Select  the type, height and length of the radiator in chart 1.  Technical data associated with the selected radiator are shown automatically. Push the "Copy to list below" button to copy the parameters into chart 2.  If additional radiators of the same type are needed, continue to push the button. The list in chart 2 can contain a maximum of 20 radiators.  Chart 3 summarizes the totals for the respective technical parameters. Before creating a new group of radiators, the current list of radiators in chart must be deleted using the "Clear list" button.</t>
  </si>
  <si>
    <t>N/A this radiator is not aviable</t>
  </si>
  <si>
    <t>Выбор радиатора</t>
  </si>
  <si>
    <t>Замените ваш старый радиатор</t>
  </si>
  <si>
    <t>Другие рабочие условия</t>
  </si>
  <si>
    <t>Технические данные</t>
  </si>
  <si>
    <t>Размеры помещения</t>
  </si>
  <si>
    <t>Обьём помещения</t>
  </si>
  <si>
    <t>Вид и положение помещения</t>
  </si>
  <si>
    <t>Оценка тепловой потери</t>
  </si>
  <si>
    <t>Приблизительное определение теплопотери =</t>
  </si>
  <si>
    <t xml:space="preserve">* Определение теплопотери имеет только обзорный характер. </t>
  </si>
  <si>
    <t>Угловое помещение с 1 окном, выше неотопливаемого помещения, сверху охлажданое</t>
  </si>
  <si>
    <t>Угловое помещение с 1 окном, выше неотопливаемого помещения, сверху изолированое</t>
  </si>
  <si>
    <t>Угловое помещение с 1 окном, выше отопливаемого помещения, сверху охлажданое</t>
  </si>
  <si>
    <t>Угловое помещение с 1 окном, выше отопливаемого помещения, сверху изолированое</t>
  </si>
  <si>
    <t>Угловое помещение с 2 окнами, выше неотопливаемого помещения, сверху охлажданое</t>
  </si>
  <si>
    <t>Угловое помещение с 2 окнами, выше неотопливаемого помещения, сверху изолированое</t>
  </si>
  <si>
    <t>Угловое помещение с 2 окнами, выше отопливаемого помещения, сверху охлажданое</t>
  </si>
  <si>
    <t>Угловое помещение с 2 окнами, выше отопливаемого помещения, сверху изолированое</t>
  </si>
  <si>
    <t>Внутреннее помещение , выше неотопливаемого помещения, сверху охлажданое</t>
  </si>
  <si>
    <t>Внутреннее помещение , выше неотопливаемого помещения, сверху изолированое</t>
  </si>
  <si>
    <t>Внутреннее помещение , выше отопливаемого помещения, сверху изолированое</t>
  </si>
  <si>
    <t>Ванная в внутреннем помещении</t>
  </si>
  <si>
    <t>Ванная в ограждающом помещении</t>
  </si>
  <si>
    <t>Прихожая</t>
  </si>
  <si>
    <t>Лестница</t>
  </si>
  <si>
    <t>Окно</t>
  </si>
  <si>
    <t>Расчётная температура</t>
  </si>
  <si>
    <r>
      <t>Помещение т</t>
    </r>
    <r>
      <rPr>
        <vertAlign val="subscript"/>
        <sz val="10"/>
        <rFont val="Arial"/>
        <family val="2"/>
      </rPr>
      <t>п</t>
    </r>
    <r>
      <rPr>
        <sz val="10"/>
        <rFont val="Arial"/>
        <family val="2"/>
      </rPr>
      <t xml:space="preserve"> =</t>
    </r>
  </si>
  <si>
    <r>
      <t>Внешняя т</t>
    </r>
    <r>
      <rPr>
        <vertAlign val="subscript"/>
        <sz val="10"/>
        <rFont val="Arial"/>
        <family val="2"/>
      </rPr>
      <t>в</t>
    </r>
    <r>
      <rPr>
        <sz val="10"/>
        <rFont val="Arial"/>
        <family val="2"/>
      </rPr>
      <t xml:space="preserve"> =</t>
    </r>
  </si>
  <si>
    <r>
      <t>Разность температур т</t>
    </r>
    <r>
      <rPr>
        <vertAlign val="subscript"/>
        <sz val="10"/>
        <rFont val="Arial"/>
        <family val="2"/>
      </rPr>
      <t>1</t>
    </r>
    <r>
      <rPr>
        <sz val="10"/>
        <rFont val="Arial"/>
        <family val="2"/>
      </rPr>
      <t xml:space="preserve"> - т</t>
    </r>
    <r>
      <rPr>
        <vertAlign val="subscript"/>
        <sz val="10"/>
        <rFont val="Arial"/>
        <family val="2"/>
      </rPr>
      <t>2</t>
    </r>
    <r>
      <rPr>
        <sz val="10"/>
        <rFont val="Arial"/>
        <family val="2"/>
      </rPr>
      <t xml:space="preserve"> =</t>
    </r>
  </si>
  <si>
    <t>Требуемая мощность</t>
  </si>
  <si>
    <t>Теплопотеря помещения Q =</t>
  </si>
  <si>
    <t>Начисленные величины</t>
  </si>
  <si>
    <r>
      <t>Температура поверхности окна т</t>
    </r>
    <r>
      <rPr>
        <vertAlign val="subscript"/>
        <sz val="10"/>
        <rFont val="Arial"/>
        <family val="2"/>
      </rPr>
      <t>о</t>
    </r>
    <r>
      <rPr>
        <sz val="10"/>
        <rFont val="Arial"/>
        <family val="2"/>
      </rPr>
      <t xml:space="preserve"> =</t>
    </r>
  </si>
  <si>
    <t>Высота радиатора начисленная Вн =</t>
  </si>
  <si>
    <t>Высота радиатора рекомендуемая Вр =</t>
  </si>
  <si>
    <t>Выберите высоту радиатора В =</t>
  </si>
  <si>
    <t>Рекомендуемые радиаторы:</t>
  </si>
  <si>
    <t>План</t>
  </si>
  <si>
    <t>Тип</t>
  </si>
  <si>
    <t>Длина</t>
  </si>
  <si>
    <t>Мощность</t>
  </si>
  <si>
    <t>Отклонение</t>
  </si>
  <si>
    <t>Старий радиатор</t>
  </si>
  <si>
    <t>Чугунные секционные радиаторы</t>
  </si>
  <si>
    <t>Стальные секционные радиаторы</t>
  </si>
  <si>
    <t>Панельные радиаторы (шаг 40мм)</t>
  </si>
  <si>
    <t>Панельные радиаторы N6</t>
  </si>
  <si>
    <t>Число звенов</t>
  </si>
  <si>
    <t>Размеры звена (мм)</t>
  </si>
  <si>
    <t>Соответствующая мощность</t>
  </si>
  <si>
    <t>Высота (мм)</t>
  </si>
  <si>
    <t>Длина (мм)</t>
  </si>
  <si>
    <t>Новый радиатор</t>
  </si>
  <si>
    <t>однопанельные</t>
  </si>
  <si>
    <t>однопанельные с конвектором</t>
  </si>
  <si>
    <t>двухпанельные</t>
  </si>
  <si>
    <t>двухпанельные с одним конвектором</t>
  </si>
  <si>
    <t>двухпанельные с двумя конвекторми</t>
  </si>
  <si>
    <t>простой</t>
  </si>
  <si>
    <t>двойной</t>
  </si>
  <si>
    <t>тройной</t>
  </si>
  <si>
    <t>Таблица тепловой мощности (Ватт)</t>
  </si>
  <si>
    <t>Вес (кг)</t>
  </si>
  <si>
    <t>Обьём (л)</t>
  </si>
  <si>
    <t>Модификация</t>
  </si>
  <si>
    <t>Суммирование</t>
  </si>
  <si>
    <t>Общий вес (кг)</t>
  </si>
  <si>
    <t>Общий обём (л)</t>
  </si>
  <si>
    <t>Общая мощность (кВатт)</t>
  </si>
  <si>
    <t>N/A значит недоступны</t>
  </si>
  <si>
    <t>Высота радиатора должна быть в диапазоне от высоты начисленной Вн и высоты рекомендованной Вр. Длина радиатора должна быть больше или равно ширине окна. В таблици рекомендуемых радиаторов выделены соответствующие длины.</t>
  </si>
  <si>
    <t>В таблице 1 выберите тип радиатора, его высоту и длину. Радиатор будет автоматически назначен техническими параметрами. После нажатия на кнопку "Копировать в список", параметры выбранного радиатора будут скопированы в Таблицу 2. Если вы хочете больше того же самого радиатора, достаточно повторно нажать на кнопку. В списке можно указать до 20 радиаторов. В таблице 3, находится ссума отдельных параметров выбранных радиаторов. Перед входом в новую группу радиаторов необходимо смазывать списка кнопку "Удалить список".</t>
  </si>
  <si>
    <t>-</t>
  </si>
  <si>
    <t>z =</t>
  </si>
  <si>
    <t>y =</t>
  </si>
  <si>
    <t>x =</t>
  </si>
  <si>
    <t>Height Hw =</t>
  </si>
  <si>
    <t xml:space="preserve"> Width Lw =</t>
  </si>
  <si>
    <t>Parapet height Hp =</t>
  </si>
  <si>
    <t>Výška parapetu Hp =</t>
  </si>
  <si>
    <t>Window surface temperature tw =</t>
  </si>
  <si>
    <t>Calculated radiator height Hc  ≥</t>
  </si>
  <si>
    <t>Radiator height should be between calculated height HC and recommended height Hrec. Lenght of the radiator shold be greater then or equal to window width LW. Suitable lengths are in bold numbers in the table of recommended radiators.</t>
  </si>
  <si>
    <r>
      <t>Входная темп. воды т</t>
    </r>
    <r>
      <rPr>
        <vertAlign val="subscript"/>
        <sz val="10"/>
        <rFont val="Arial"/>
        <family val="2"/>
      </rPr>
      <t>1</t>
    </r>
    <r>
      <rPr>
        <sz val="10"/>
        <rFont val="Arial"/>
        <family val="2"/>
      </rPr>
      <t xml:space="preserve"> =</t>
    </r>
  </si>
  <si>
    <r>
      <t>Темп. воды на выходе т</t>
    </r>
    <r>
      <rPr>
        <vertAlign val="subscript"/>
        <sz val="10"/>
        <rFont val="Arial"/>
        <family val="2"/>
      </rPr>
      <t>2</t>
    </r>
    <r>
      <rPr>
        <sz val="10"/>
        <rFont val="Arial"/>
        <family val="2"/>
      </rPr>
      <t xml:space="preserve"> =</t>
    </r>
  </si>
  <si>
    <t>Коэф. теплопередачи U =</t>
  </si>
  <si>
    <t>*Высота звена также розмером приключения. Фактическая высота звена около 80мм вышше.                                                **Значения тепловой мощности является справочной величиной.</t>
  </si>
  <si>
    <t xml:space="preserve">*Výška článkov je napájacím rozmerom. Skutočná výška článkov je o 80mm vyššia.                                                                          **Hodnoty tepelných výkonov starých radiátorov sú orientačné. </t>
  </si>
  <si>
    <r>
      <t>Povrchová teplota okna t</t>
    </r>
    <r>
      <rPr>
        <sz val="10"/>
        <rFont val="Arial"/>
        <family val="2"/>
      </rPr>
      <t>o</t>
    </r>
    <r>
      <rPr>
        <sz val="10"/>
        <rFont val="Arial"/>
        <family val="2"/>
      </rPr>
      <t xml:space="preserve"> =</t>
    </r>
  </si>
  <si>
    <t>Výška radiátora vypočítaná Hv  ≥</t>
  </si>
  <si>
    <t>Výška Hw =</t>
  </si>
  <si>
    <t xml:space="preserve"> Šírka Lw =</t>
  </si>
  <si>
    <t>Высота Hw =</t>
  </si>
  <si>
    <t>Ширина Lw =</t>
  </si>
  <si>
    <t>Высота парапета Hp =</t>
  </si>
  <si>
    <t>Процесс преобразования тепловой мощности учитывает логарифмическое изменение тепловой мощности при низких температурах таким образом, если отношение:</t>
  </si>
  <si>
    <t>No.</t>
  </si>
  <si>
    <t>List of the radiators</t>
  </si>
  <si>
    <t>Список радиаторов</t>
  </si>
  <si>
    <t>Tabuľka 1</t>
  </si>
  <si>
    <t>Tabuľka 2</t>
  </si>
  <si>
    <t>Tabuľka 3</t>
  </si>
  <si>
    <t>Chart 1</t>
  </si>
  <si>
    <t>Chart 2</t>
  </si>
  <si>
    <t>Chart 3</t>
  </si>
  <si>
    <t>Таблица 1</t>
  </si>
  <si>
    <t>Таблица 2</t>
  </si>
  <si>
    <t>Таблица 3</t>
  </si>
  <si>
    <t>Plan - radiátor s hladkou čelnou plochou</t>
  </si>
  <si>
    <t>20W - typ 20 o šírke 100mm</t>
  </si>
  <si>
    <t>20W - type 20 with width 100mm</t>
  </si>
  <si>
    <t>Plan - radiator with flat front panel</t>
  </si>
  <si>
    <t>20W - тип 20, ширина 100мм</t>
  </si>
  <si>
    <t>Plan - радиатор с плоской поверхностью</t>
  </si>
  <si>
    <t>K - Kompakt</t>
  </si>
  <si>
    <t>VK - Ventil kompakt</t>
  </si>
  <si>
    <t>K - компакт</t>
  </si>
  <si>
    <t>VK - Вентил компакт</t>
  </si>
  <si>
    <t>Jazyky</t>
  </si>
  <si>
    <t>Languages</t>
  </si>
  <si>
    <t>Языки</t>
  </si>
  <si>
    <r>
      <t xml:space="preserve">Высота  </t>
    </r>
    <r>
      <rPr>
        <sz val="8"/>
        <rFont val="Arial"/>
        <family val="2"/>
      </rPr>
      <t>x</t>
    </r>
    <r>
      <rPr>
        <sz val="10"/>
        <rFont val="Arial"/>
        <family val="2"/>
      </rPr>
      <t xml:space="preserve">  ширина</t>
    </r>
  </si>
  <si>
    <t>Kopíruj do zoznamu</t>
  </si>
  <si>
    <t>Copy to list</t>
  </si>
  <si>
    <t>Zmazat zoznam</t>
  </si>
  <si>
    <t>Delete list</t>
  </si>
  <si>
    <t>Копировать в список</t>
  </si>
  <si>
    <t>Удалить список</t>
  </si>
  <si>
    <t>slovenčina</t>
  </si>
  <si>
    <t>english</t>
  </si>
  <si>
    <t>русский</t>
  </si>
  <si>
    <t>Zoznam je plný, zmaž zoznam !</t>
  </si>
  <si>
    <t>The list is full, please delete list !</t>
  </si>
  <si>
    <t>Radiátor</t>
  </si>
  <si>
    <t>kPa</t>
  </si>
  <si>
    <t>Tlaková strata</t>
  </si>
  <si>
    <r>
      <rPr>
        <sz val="14"/>
        <rFont val="Symbol"/>
        <family val="1"/>
      </rPr>
      <t>f</t>
    </r>
    <r>
      <rPr>
        <sz val="10"/>
        <rFont val="Arial"/>
        <family val="2"/>
      </rPr>
      <t xml:space="preserve"> =</t>
    </r>
  </si>
  <si>
    <t>riadok</t>
  </si>
  <si>
    <t>stĺpec</t>
  </si>
  <si>
    <t>test 11</t>
  </si>
  <si>
    <t>test 550</t>
  </si>
  <si>
    <t>test</t>
  </si>
  <si>
    <t>Hmotnostný prietok vody</t>
  </si>
  <si>
    <r>
      <t>q</t>
    </r>
    <r>
      <rPr>
        <vertAlign val="subscript"/>
        <sz val="10"/>
        <rFont val="Arial"/>
        <family val="2"/>
      </rPr>
      <t xml:space="preserve">m </t>
    </r>
    <r>
      <rPr>
        <sz val="10"/>
        <rFont val="Arial"/>
        <family val="2"/>
      </rPr>
      <t>=</t>
    </r>
  </si>
  <si>
    <r>
      <t>kg.h</t>
    </r>
    <r>
      <rPr>
        <vertAlign val="superscript"/>
        <sz val="10"/>
        <rFont val="Arial"/>
        <family val="2"/>
      </rPr>
      <t>-1</t>
    </r>
  </si>
  <si>
    <t>Prednastavenie ventilu</t>
  </si>
  <si>
    <t>n =</t>
  </si>
  <si>
    <t>n1</t>
  </si>
  <si>
    <r>
      <t>kv (m</t>
    </r>
    <r>
      <rPr>
        <b/>
        <vertAlign val="superscript"/>
        <sz val="11"/>
        <color indexed="8"/>
        <rFont val="Calibri"/>
        <family val="2"/>
      </rPr>
      <t>3</t>
    </r>
    <r>
      <rPr>
        <b/>
        <sz val="11"/>
        <color indexed="8"/>
        <rFont val="Calibri"/>
        <family val="2"/>
      </rPr>
      <t>.h</t>
    </r>
    <r>
      <rPr>
        <b/>
        <vertAlign val="superscript"/>
        <sz val="11"/>
        <color indexed="8"/>
        <rFont val="Calibri"/>
        <family val="2"/>
      </rPr>
      <t>-1</t>
    </r>
    <r>
      <rPr>
        <b/>
        <sz val="11"/>
        <color indexed="8"/>
        <rFont val="Calibri"/>
        <family val="2"/>
      </rPr>
      <t>)</t>
    </r>
  </si>
  <si>
    <r>
      <rPr>
        <sz val="11"/>
        <color indexed="8"/>
        <rFont val="Symbol"/>
        <family val="1"/>
      </rPr>
      <t>D</t>
    </r>
    <r>
      <rPr>
        <sz val="10"/>
        <rFont val="Arial"/>
        <family val="0"/>
      </rPr>
      <t>p (kPa)</t>
    </r>
  </si>
  <si>
    <t>Prietok (kg/h)</t>
  </si>
  <si>
    <t>qm =</t>
  </si>
  <si>
    <r>
      <rPr>
        <sz val="10"/>
        <rFont val="Symbol"/>
        <family val="1"/>
      </rPr>
      <t>D</t>
    </r>
    <r>
      <rPr>
        <sz val="10"/>
        <rFont val="Calibri"/>
        <family val="2"/>
      </rPr>
      <t>p</t>
    </r>
    <r>
      <rPr>
        <sz val="10"/>
        <rFont val="Arial"/>
        <family val="2"/>
      </rPr>
      <t xml:space="preserve"> =</t>
    </r>
  </si>
  <si>
    <t>kv =</t>
  </si>
  <si>
    <t>prednastavenie</t>
  </si>
  <si>
    <t>kv - dané</t>
  </si>
  <si>
    <r>
      <rPr>
        <sz val="10"/>
        <rFont val="Symbol"/>
        <family val="1"/>
      </rPr>
      <t>D</t>
    </r>
    <r>
      <rPr>
        <sz val="10"/>
        <rFont val="Arial"/>
        <family val="2"/>
      </rPr>
      <t>p - aktualne</t>
    </r>
  </si>
  <si>
    <t>minimum</t>
  </si>
  <si>
    <t>minimá</t>
  </si>
  <si>
    <t>krivka</t>
  </si>
  <si>
    <t>hodnota</t>
  </si>
  <si>
    <t>2.krivka</t>
  </si>
  <si>
    <t xml:space="preserve">2.krivka </t>
  </si>
  <si>
    <t xml:space="preserve"> </t>
  </si>
  <si>
    <t>k =</t>
  </si>
  <si>
    <t>q =</t>
  </si>
  <si>
    <t>Prednastavenie 1 =</t>
  </si>
  <si>
    <t>Prednastavenie 2 =</t>
  </si>
  <si>
    <t>Výber prednastavenia:</t>
  </si>
  <si>
    <t>Zobrazenie bodu:</t>
  </si>
  <si>
    <t>x-ová súradnica</t>
  </si>
  <si>
    <t>x</t>
  </si>
  <si>
    <t>y</t>
  </si>
  <si>
    <t>y-ová súradnica</t>
  </si>
  <si>
    <t>bod</t>
  </si>
  <si>
    <t xml:space="preserve"> Výška
</t>
  </si>
  <si>
    <t>Dané hodnoty</t>
  </si>
  <si>
    <t>Heimeier 4360</t>
  </si>
  <si>
    <t>Radiator</t>
  </si>
  <si>
    <t>Finest valve presetting</t>
  </si>
  <si>
    <t>Mass flow rate</t>
  </si>
  <si>
    <t>Merná tep. kapacita vody</t>
  </si>
  <si>
    <r>
      <t>J.kg</t>
    </r>
    <r>
      <rPr>
        <vertAlign val="superscript"/>
        <sz val="10"/>
        <rFont val="Arial"/>
        <family val="2"/>
      </rPr>
      <t>-1</t>
    </r>
    <r>
      <rPr>
        <sz val="10"/>
        <rFont val="Arial"/>
        <family val="0"/>
      </rPr>
      <t>.K</t>
    </r>
    <r>
      <rPr>
        <vertAlign val="superscript"/>
        <sz val="11"/>
        <color indexed="8"/>
        <rFont val="Calibri"/>
        <family val="2"/>
      </rPr>
      <t>-1</t>
    </r>
  </si>
  <si>
    <t>Specific heat of water</t>
  </si>
  <si>
    <t>Удельная теплоемкость воды</t>
  </si>
  <si>
    <t>Pressure loss</t>
  </si>
  <si>
    <t>The values</t>
  </si>
  <si>
    <t>Valve insert presetting</t>
  </si>
  <si>
    <t>Исходные данные</t>
  </si>
  <si>
    <t>Величина расхода воды</t>
  </si>
  <si>
    <t xml:space="preserve">Предварительная установка </t>
  </si>
  <si>
    <t>Радиатор</t>
  </si>
  <si>
    <t>Потеря давления</t>
  </si>
  <si>
    <r>
      <rPr>
        <sz val="10"/>
        <rFont val="Symbol"/>
        <family val="1"/>
      </rPr>
      <t>D</t>
    </r>
    <r>
      <rPr>
        <sz val="10"/>
        <rFont val="Arial"/>
        <family val="2"/>
      </rPr>
      <t>p =</t>
    </r>
  </si>
  <si>
    <t>c =</t>
  </si>
  <si>
    <t>Предвар. установка клапана</t>
  </si>
  <si>
    <t>Prednast. ventilovej vložky</t>
  </si>
  <si>
    <t>Výška radiátora by sa mala pohybovať v rozmedzí medzi výškou vypočítanou Hv a výškou doporučenou Hdop. Dĺžka radiátora by mala byť väčšia alebo nanajvýš rovná šírke okna Lw. V tabuľke doporučených telies sú vhodné dĺžky zvýraznené.</t>
  </si>
</sst>
</file>

<file path=xl/styles.xml><?xml version="1.0" encoding="utf-8"?>
<styleSheet xmlns="http://schemas.openxmlformats.org/spreadsheetml/2006/main">
  <numFmts count="2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00"/>
    <numFmt numFmtId="176" formatCode="0.0%"/>
    <numFmt numFmtId="177" formatCode="&quot;Áno&quot;;&quot;Áno&quot;;&quot;Nie&quot;"/>
    <numFmt numFmtId="178" formatCode="&quot;Pravda&quot;;&quot;Pravda&quot;;&quot;Nepravda&quot;"/>
    <numFmt numFmtId="179" formatCode="&quot;Zapnuté&quot;;&quot;Zapnuté&quot;;&quot;Vypnuté&quot;"/>
    <numFmt numFmtId="180" formatCode="[$€-2]\ #\ ##,000_);[Red]\([$€-2]\ #\ ##,000\)"/>
    <numFmt numFmtId="181" formatCode="#,##0.0"/>
  </numFmts>
  <fonts count="69">
    <font>
      <sz val="10"/>
      <name val="Arial"/>
      <family val="0"/>
    </font>
    <font>
      <sz val="11"/>
      <color indexed="8"/>
      <name val="Calibri"/>
      <family val="2"/>
    </font>
    <font>
      <sz val="8"/>
      <name val="Tahoma"/>
      <family val="2"/>
    </font>
    <font>
      <sz val="8"/>
      <name val="Arial"/>
      <family val="2"/>
    </font>
    <font>
      <sz val="10"/>
      <name val="Arial CE"/>
      <family val="0"/>
    </font>
    <font>
      <u val="single"/>
      <sz val="10"/>
      <name val="Arial"/>
      <family val="2"/>
    </font>
    <font>
      <sz val="12"/>
      <name val="Courier"/>
      <family val="1"/>
    </font>
    <font>
      <b/>
      <sz val="8"/>
      <name val="Arial"/>
      <family val="2"/>
    </font>
    <font>
      <b/>
      <sz val="10"/>
      <name val="Arial"/>
      <family val="2"/>
    </font>
    <font>
      <b/>
      <sz val="12"/>
      <name val="Arial"/>
      <family val="2"/>
    </font>
    <font>
      <b/>
      <sz val="14"/>
      <name val="Arial"/>
      <family val="2"/>
    </font>
    <font>
      <sz val="10"/>
      <name val="Symbol"/>
      <family val="1"/>
    </font>
    <font>
      <b/>
      <sz val="10"/>
      <name val="Tahoma"/>
      <family val="2"/>
    </font>
    <font>
      <sz val="16"/>
      <name val="Arial"/>
      <family val="2"/>
    </font>
    <font>
      <sz val="9"/>
      <name val="Arial"/>
      <family val="2"/>
    </font>
    <font>
      <b/>
      <sz val="9"/>
      <name val="Arial"/>
      <family val="2"/>
    </font>
    <font>
      <sz val="10"/>
      <color indexed="10"/>
      <name val="Arial"/>
      <family val="2"/>
    </font>
    <font>
      <vertAlign val="subscript"/>
      <sz val="10"/>
      <name val="Arial"/>
      <family val="2"/>
    </font>
    <font>
      <sz val="12"/>
      <name val="Arial"/>
      <family val="2"/>
    </font>
    <font>
      <sz val="10"/>
      <color indexed="47"/>
      <name val="Arial"/>
      <family val="2"/>
    </font>
    <font>
      <b/>
      <vertAlign val="superscript"/>
      <sz val="10"/>
      <name val="Arial"/>
      <family val="2"/>
    </font>
    <font>
      <vertAlign val="superscript"/>
      <sz val="9"/>
      <name val="Arial"/>
      <family val="2"/>
    </font>
    <font>
      <sz val="10"/>
      <color indexed="43"/>
      <name val="Arial"/>
      <family val="2"/>
    </font>
    <font>
      <sz val="10"/>
      <color indexed="9"/>
      <name val="Arial"/>
      <family val="2"/>
    </font>
    <font>
      <b/>
      <sz val="12"/>
      <color indexed="9"/>
      <name val="Arial"/>
      <family val="2"/>
    </font>
    <font>
      <sz val="10"/>
      <color indexed="13"/>
      <name val="Arial"/>
      <family val="2"/>
    </font>
    <font>
      <b/>
      <sz val="11"/>
      <name val="Arial"/>
      <family val="2"/>
    </font>
    <font>
      <sz val="11"/>
      <name val="Arial"/>
      <family val="2"/>
    </font>
    <font>
      <sz val="10"/>
      <color indexed="22"/>
      <name val="Arial"/>
      <family val="2"/>
    </font>
    <font>
      <sz val="12"/>
      <color indexed="22"/>
      <name val="Arial"/>
      <family val="2"/>
    </font>
    <font>
      <b/>
      <sz val="12"/>
      <color indexed="22"/>
      <name val="Arial"/>
      <family val="2"/>
    </font>
    <font>
      <sz val="8.2"/>
      <name val="Arial"/>
      <family val="2"/>
    </font>
    <font>
      <vertAlign val="superscript"/>
      <sz val="11"/>
      <color indexed="8"/>
      <name val="Calibri"/>
      <family val="2"/>
    </font>
    <font>
      <sz val="14"/>
      <name val="Symbol"/>
      <family val="1"/>
    </font>
    <font>
      <b/>
      <sz val="11"/>
      <color indexed="8"/>
      <name val="Calibri"/>
      <family val="2"/>
    </font>
    <font>
      <sz val="11"/>
      <color indexed="8"/>
      <name val="Symbol"/>
      <family val="1"/>
    </font>
    <font>
      <vertAlign val="superscript"/>
      <sz val="10"/>
      <name val="Arial"/>
      <family val="2"/>
    </font>
    <font>
      <b/>
      <vertAlign val="superscript"/>
      <sz val="11"/>
      <color indexed="8"/>
      <name val="Calibri"/>
      <family val="2"/>
    </font>
    <font>
      <sz val="10"/>
      <name val="Calibri"/>
      <family val="2"/>
    </font>
    <font>
      <sz val="10"/>
      <color indexed="8"/>
      <name val="Calibri"/>
      <family val="0"/>
    </font>
    <font>
      <b/>
      <sz val="10"/>
      <color indexed="8"/>
      <name val="Calibri"/>
      <family val="0"/>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62"/>
      <name val="Arial"/>
      <family val="2"/>
    </font>
    <font>
      <sz val="10"/>
      <color indexed="8"/>
      <name val="Arial"/>
      <family val="0"/>
    </font>
    <font>
      <b/>
      <sz val="14"/>
      <color indexed="8"/>
      <name val="Arial"/>
      <family val="0"/>
    </font>
    <font>
      <b/>
      <sz val="10"/>
      <color indexed="8"/>
      <name val="Arial"/>
      <family val="0"/>
    </font>
    <font>
      <sz val="8"/>
      <color indexed="8"/>
      <name val="Arial"/>
      <family val="0"/>
    </font>
    <font>
      <b/>
      <sz val="12"/>
      <color indexed="8"/>
      <name val="Arial"/>
      <family val="0"/>
    </font>
    <font>
      <b/>
      <vertAlign val="subscript"/>
      <sz val="12"/>
      <color indexed="8"/>
      <name val="Arial"/>
      <family val="0"/>
    </font>
    <font>
      <b/>
      <sz val="12"/>
      <color indexed="8"/>
      <name val="Symbol"/>
      <family val="0"/>
    </font>
    <font>
      <b/>
      <sz val="18"/>
      <color indexed="8"/>
      <name val="Calibri"/>
      <family val="0"/>
    </font>
    <font>
      <b/>
      <sz val="18"/>
      <color indexed="8"/>
      <name val="Symbol"/>
      <family val="0"/>
    </font>
    <font>
      <b/>
      <sz val="18"/>
      <color indexed="8"/>
      <name val="Arial"/>
      <family val="0"/>
    </font>
    <font>
      <b/>
      <vertAlign val="subscript"/>
      <sz val="18"/>
      <color indexed="8"/>
      <name val="Arial"/>
      <family val="0"/>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8"/>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n"/>
    </border>
    <border>
      <left/>
      <right/>
      <top style="medium">
        <color indexed="22"/>
      </top>
      <bottom style="medium">
        <color indexed="22"/>
      </bottom>
    </border>
    <border>
      <left/>
      <right/>
      <top style="medium">
        <color indexed="55"/>
      </top>
      <bottom style="medium">
        <color indexed="55"/>
      </bottom>
    </border>
    <border>
      <left style="thin"/>
      <right style="thin"/>
      <top style="thin"/>
      <bottom style="thin"/>
    </border>
    <border>
      <left/>
      <right/>
      <top/>
      <bottom style="thin">
        <color indexed="22"/>
      </bottom>
    </border>
    <border>
      <left/>
      <right/>
      <top style="medium">
        <color indexed="55"/>
      </top>
      <bottom/>
    </border>
    <border>
      <left style="thick">
        <color indexed="22"/>
      </left>
      <right style="thick">
        <color indexed="22"/>
      </right>
      <top style="thick">
        <color indexed="22"/>
      </top>
      <bottom style="thick">
        <color indexed="22"/>
      </bottom>
    </border>
    <border>
      <left style="thin"/>
      <right style="thin"/>
      <top style="thin"/>
      <bottom/>
    </border>
    <border>
      <left style="thin"/>
      <right style="thin"/>
      <top/>
      <bottom style="thin"/>
    </border>
    <border>
      <left/>
      <right/>
      <top/>
      <bottom style="medium">
        <color indexed="22"/>
      </bottom>
    </border>
    <border>
      <left/>
      <right>
        <color indexed="63"/>
      </right>
      <top/>
      <bottom style="medium">
        <color indexed="55"/>
      </bottom>
    </border>
    <border>
      <left style="medium">
        <color indexed="55"/>
      </left>
      <right style="medium">
        <color indexed="55"/>
      </right>
      <top>
        <color indexed="63"/>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right style="medium"/>
      <top style="medium"/>
      <bottom style="medium"/>
    </border>
    <border>
      <left/>
      <right/>
      <top style="medium">
        <color indexed="22"/>
      </top>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thin">
        <color indexed="22"/>
      </right>
      <top>
        <color indexed="63"/>
      </top>
      <bottom>
        <color indexed="63"/>
      </bottom>
    </border>
    <border>
      <left>
        <color indexed="63"/>
      </left>
      <right>
        <color indexed="63"/>
      </right>
      <top>
        <color indexed="63"/>
      </top>
      <bottom style="medium">
        <color indexed="23"/>
      </bottom>
    </border>
    <border>
      <left style="thin">
        <color indexed="22"/>
      </left>
      <right style="thin">
        <color indexed="22"/>
      </right>
      <top style="medium">
        <color indexed="22"/>
      </top>
      <bottom style="medium">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ck">
        <color indexed="55"/>
      </left>
      <right/>
      <top style="thick">
        <color indexed="55"/>
      </top>
      <bottom/>
    </border>
    <border>
      <left/>
      <right/>
      <top style="thick">
        <color indexed="55"/>
      </top>
      <bottom/>
    </border>
    <border>
      <left/>
      <right style="thick">
        <color indexed="55"/>
      </right>
      <top style="thick">
        <color indexed="55"/>
      </top>
      <bottom/>
    </border>
    <border>
      <left style="thick">
        <color indexed="55"/>
      </left>
      <right/>
      <top/>
      <bottom/>
    </border>
    <border>
      <left/>
      <right style="thick">
        <color indexed="55"/>
      </right>
      <top/>
      <bottom/>
    </border>
    <border>
      <left style="thick">
        <color indexed="55"/>
      </left>
      <right/>
      <top/>
      <bottom style="thick">
        <color indexed="55"/>
      </bottom>
    </border>
    <border>
      <left/>
      <right/>
      <top/>
      <bottom style="thick">
        <color indexed="55"/>
      </bottom>
    </border>
    <border>
      <left/>
      <right style="thick">
        <color indexed="55"/>
      </right>
      <top/>
      <bottom style="thick">
        <color indexed="55"/>
      </bottom>
    </border>
    <border>
      <left>
        <color indexed="63"/>
      </left>
      <right>
        <color indexed="63"/>
      </right>
      <top style="thick">
        <color indexed="55"/>
      </top>
      <bottom>
        <color indexed="63"/>
      </bottom>
    </border>
    <border>
      <left>
        <color indexed="63"/>
      </left>
      <right>
        <color indexed="63"/>
      </right>
      <top style="thick">
        <color indexed="55"/>
      </top>
      <bottom style="thick">
        <color indexed="55"/>
      </bottom>
    </border>
    <border>
      <left/>
      <right/>
      <top style="thick">
        <color indexed="55"/>
      </top>
      <bottom style="thick">
        <color indexed="55"/>
      </bottom>
    </border>
    <border>
      <left>
        <color indexed="63"/>
      </left>
      <right>
        <color indexed="63"/>
      </right>
      <top>
        <color indexed="63"/>
      </top>
      <bottom style="thick">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 borderId="0" applyNumberFormat="0" applyBorder="0" applyAlignment="0" applyProtection="0"/>
    <xf numFmtId="0" fontId="43" fillId="16" borderId="1" applyNumberFormat="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17"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0" fillId="18" borderId="5" applyNumberFormat="0" applyFont="0" applyAlignment="0" applyProtection="0"/>
    <xf numFmtId="0" fontId="48" fillId="0" borderId="6" applyNumberFormat="0" applyFill="0" applyAlignment="0" applyProtection="0"/>
    <xf numFmtId="0" fontId="34"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7" borderId="8" applyNumberFormat="0" applyAlignment="0" applyProtection="0"/>
    <xf numFmtId="0" fontId="52" fillId="19" borderId="8" applyNumberFormat="0" applyAlignment="0" applyProtection="0"/>
    <xf numFmtId="0" fontId="53" fillId="19" borderId="9" applyNumberFormat="0" applyAlignment="0" applyProtection="0"/>
    <xf numFmtId="0" fontId="54" fillId="0" borderId="0" applyNumberFormat="0" applyFill="0" applyBorder="0" applyAlignment="0" applyProtection="0"/>
    <xf numFmtId="0" fontId="55" fillId="3"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cellStyleXfs>
  <cellXfs count="345">
    <xf numFmtId="0" fontId="0" fillId="0" borderId="0" xfId="0" applyAlignment="1">
      <alignment/>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Font="1" applyAlignment="1">
      <alignment horizontal="right"/>
    </xf>
    <xf numFmtId="0" fontId="5" fillId="0" borderId="0" xfId="0" applyFont="1" applyAlignment="1">
      <alignment/>
    </xf>
    <xf numFmtId="0" fontId="0" fillId="0" borderId="0" xfId="45" applyFont="1" applyFill="1" applyBorder="1" applyAlignment="1" applyProtection="1">
      <alignment horizontal="left"/>
      <protection/>
    </xf>
    <xf numFmtId="0" fontId="4" fillId="0" borderId="0" xfId="45" applyFont="1" applyBorder="1">
      <alignment/>
      <protection/>
    </xf>
    <xf numFmtId="0" fontId="6" fillId="0" borderId="0" xfId="45" applyFont="1" applyFill="1" applyBorder="1" applyAlignment="1" applyProtection="1">
      <alignment horizontal="left"/>
      <protection/>
    </xf>
    <xf numFmtId="0" fontId="0" fillId="0" borderId="0" xfId="0" applyFont="1" applyAlignment="1">
      <alignment horizontal="center" vertical="center"/>
    </xf>
    <xf numFmtId="0" fontId="4" fillId="0" borderId="0" xfId="45" applyFont="1" applyBorder="1" applyAlignment="1">
      <alignment horizontal="center" vertical="center"/>
      <protection/>
    </xf>
    <xf numFmtId="3" fontId="0" fillId="0" borderId="0" xfId="45" applyNumberFormat="1" applyFont="1" applyFill="1" applyBorder="1" applyAlignment="1" applyProtection="1">
      <alignment horizontal="center"/>
      <protection hidden="1"/>
    </xf>
    <xf numFmtId="0" fontId="0" fillId="0" borderId="0" xfId="45" applyFont="1" applyFill="1" applyBorder="1" applyProtection="1">
      <alignment/>
      <protection/>
    </xf>
    <xf numFmtId="0" fontId="0" fillId="0" borderId="0" xfId="45" applyFont="1" applyFill="1" applyBorder="1" applyAlignment="1" applyProtection="1">
      <alignment horizontal="right"/>
      <protection locked="0"/>
    </xf>
    <xf numFmtId="0" fontId="0" fillId="0" borderId="0" xfId="0" applyFont="1" applyAlignment="1">
      <alignment horizontal="center"/>
    </xf>
    <xf numFmtId="0" fontId="0" fillId="24" borderId="0" xfId="0" applyFill="1" applyAlignment="1">
      <alignment/>
    </xf>
    <xf numFmtId="0" fontId="0" fillId="19" borderId="0" xfId="0" applyFill="1" applyAlignment="1">
      <alignment/>
    </xf>
    <xf numFmtId="0" fontId="0" fillId="16" borderId="0" xfId="0" applyFill="1" applyAlignment="1">
      <alignment/>
    </xf>
    <xf numFmtId="0" fontId="0" fillId="16" borderId="0" xfId="0" applyFill="1" applyBorder="1" applyAlignment="1">
      <alignment/>
    </xf>
    <xf numFmtId="0" fontId="0" fillId="19" borderId="0" xfId="0" applyFill="1" applyBorder="1" applyAlignment="1">
      <alignment/>
    </xf>
    <xf numFmtId="0" fontId="0" fillId="19" borderId="0" xfId="0" applyFill="1" applyBorder="1" applyAlignment="1">
      <alignment horizontal="center" wrapText="1"/>
    </xf>
    <xf numFmtId="0" fontId="0" fillId="19" borderId="0" xfId="0" applyFill="1" applyAlignment="1">
      <alignment horizontal="right"/>
    </xf>
    <xf numFmtId="0" fontId="0" fillId="19" borderId="0" xfId="0" applyFill="1" applyAlignment="1">
      <alignment horizontal="center"/>
    </xf>
    <xf numFmtId="0" fontId="0" fillId="16" borderId="0" xfId="0" applyFill="1" applyAlignment="1">
      <alignment horizontal="right"/>
    </xf>
    <xf numFmtId="0" fontId="0" fillId="16" borderId="0" xfId="0" applyFill="1" applyBorder="1" applyAlignment="1">
      <alignment horizontal="center"/>
    </xf>
    <xf numFmtId="0" fontId="0" fillId="19" borderId="0" xfId="0" applyFill="1" applyBorder="1" applyAlignment="1">
      <alignment horizontal="center"/>
    </xf>
    <xf numFmtId="0" fontId="0" fillId="19" borderId="0" xfId="0" applyFill="1" applyBorder="1" applyAlignment="1">
      <alignment horizontal="right"/>
    </xf>
    <xf numFmtId="0" fontId="0" fillId="16" borderId="0" xfId="0" applyFill="1" applyAlignment="1">
      <alignment horizontal="center"/>
    </xf>
    <xf numFmtId="0" fontId="0" fillId="0" borderId="0" xfId="0" applyBorder="1" applyAlignment="1">
      <alignment/>
    </xf>
    <xf numFmtId="0" fontId="0" fillId="0" borderId="0" xfId="0" applyAlignment="1">
      <alignment horizontal="right"/>
    </xf>
    <xf numFmtId="0" fontId="0" fillId="19" borderId="0" xfId="0" applyFill="1" applyBorder="1" applyAlignment="1">
      <alignment horizontal="left"/>
    </xf>
    <xf numFmtId="0" fontId="0" fillId="0" borderId="0" xfId="0" applyFill="1" applyAlignment="1">
      <alignment/>
    </xf>
    <xf numFmtId="0" fontId="0" fillId="0" borderId="0" xfId="0" applyFill="1" applyBorder="1" applyAlignment="1">
      <alignment horizontal="right"/>
    </xf>
    <xf numFmtId="0" fontId="0" fillId="8" borderId="0" xfId="0" applyFill="1" applyAlignment="1">
      <alignment/>
    </xf>
    <xf numFmtId="0" fontId="0" fillId="8" borderId="0" xfId="0" applyFill="1" applyAlignment="1">
      <alignment horizontal="center"/>
    </xf>
    <xf numFmtId="0" fontId="0" fillId="8" borderId="0" xfId="0" applyFill="1" applyBorder="1" applyAlignment="1">
      <alignment horizontal="center"/>
    </xf>
    <xf numFmtId="0" fontId="0" fillId="0" borderId="0" xfId="0" applyFill="1" applyAlignment="1">
      <alignment horizontal="center"/>
    </xf>
    <xf numFmtId="1" fontId="0" fillId="8" borderId="0" xfId="0" applyNumberFormat="1" applyFill="1" applyAlignment="1">
      <alignment horizontal="center"/>
    </xf>
    <xf numFmtId="1" fontId="0" fillId="19" borderId="0" xfId="0" applyNumberFormat="1" applyFill="1" applyAlignment="1">
      <alignment/>
    </xf>
    <xf numFmtId="0" fontId="8" fillId="0" borderId="0" xfId="0" applyFont="1" applyFill="1" applyAlignment="1">
      <alignment horizontal="center"/>
    </xf>
    <xf numFmtId="0" fontId="0" fillId="25" borderId="0" xfId="0" applyFill="1" applyAlignment="1">
      <alignment/>
    </xf>
    <xf numFmtId="0" fontId="3" fillId="0" borderId="0" xfId="0" applyFont="1" applyFill="1" applyAlignment="1" applyProtection="1">
      <alignment horizontal="center"/>
      <protection locked="0"/>
    </xf>
    <xf numFmtId="2" fontId="0" fillId="0" borderId="0" xfId="0" applyNumberFormat="1" applyAlignment="1">
      <alignment/>
    </xf>
    <xf numFmtId="0" fontId="11" fillId="0" borderId="0" xfId="45" applyFont="1" applyFill="1" applyBorder="1" applyAlignment="1" applyProtection="1">
      <alignment horizontal="center" vertical="center"/>
      <protection/>
    </xf>
    <xf numFmtId="0" fontId="0" fillId="0" borderId="0" xfId="0" applyAlignment="1">
      <alignment horizontal="center" vertical="center" wrapText="1"/>
    </xf>
    <xf numFmtId="0" fontId="0" fillId="0" borderId="0" xfId="45" applyFont="1" applyFill="1" applyBorder="1" applyAlignment="1" applyProtection="1">
      <alignment horizontal="center" vertical="center"/>
      <protection/>
    </xf>
    <xf numFmtId="0" fontId="0" fillId="0" borderId="0" xfId="45" applyFont="1" applyFill="1" applyBorder="1" applyAlignment="1" applyProtection="1">
      <alignment horizontal="center" wrapText="1"/>
      <protection/>
    </xf>
    <xf numFmtId="0" fontId="0" fillId="16" borderId="10" xfId="0" applyFill="1" applyBorder="1" applyAlignment="1">
      <alignment/>
    </xf>
    <xf numFmtId="0" fontId="0" fillId="0" borderId="10" xfId="0" applyBorder="1" applyAlignment="1">
      <alignment/>
    </xf>
    <xf numFmtId="1" fontId="8" fillId="0" borderId="0" xfId="0" applyNumberFormat="1" applyFont="1" applyFill="1" applyAlignment="1">
      <alignment horizontal="center" vertical="center"/>
    </xf>
    <xf numFmtId="1" fontId="0" fillId="16" borderId="0" xfId="0" applyNumberFormat="1" applyFill="1" applyAlignment="1">
      <alignment/>
    </xf>
    <xf numFmtId="0" fontId="8" fillId="0" borderId="0" xfId="0" applyFont="1" applyAlignment="1">
      <alignment horizontal="center"/>
    </xf>
    <xf numFmtId="0" fontId="8" fillId="0" borderId="0" xfId="0" applyFont="1" applyAlignment="1">
      <alignment/>
    </xf>
    <xf numFmtId="0" fontId="0" fillId="0" borderId="0" xfId="0" applyFont="1" applyFill="1" applyBorder="1" applyAlignment="1">
      <alignment horizontal="center" vertical="top" wrapText="1"/>
    </xf>
    <xf numFmtId="0" fontId="0" fillId="0" borderId="5" xfId="0" applyFill="1" applyBorder="1" applyAlignment="1">
      <alignment/>
    </xf>
    <xf numFmtId="0" fontId="0" fillId="0" borderId="5" xfId="0" applyFill="1" applyBorder="1" applyAlignment="1" applyProtection="1">
      <alignment horizontal="center"/>
      <protection locked="0"/>
    </xf>
    <xf numFmtId="174" fontId="0" fillId="0" borderId="5" xfId="0" applyNumberFormat="1" applyFill="1" applyBorder="1" applyAlignment="1" applyProtection="1">
      <alignment horizontal="center"/>
      <protection locked="0"/>
    </xf>
    <xf numFmtId="2" fontId="0" fillId="0" borderId="5" xfId="0" applyNumberFormat="1" applyFill="1" applyBorder="1" applyAlignment="1" applyProtection="1">
      <alignment horizontal="center"/>
      <protection locked="0"/>
    </xf>
    <xf numFmtId="1" fontId="0" fillId="0" borderId="5" xfId="0" applyNumberFormat="1" applyFill="1" applyBorder="1" applyAlignment="1" applyProtection="1">
      <alignment horizontal="center"/>
      <protection locked="0"/>
    </xf>
    <xf numFmtId="175" fontId="0" fillId="0" borderId="5" xfId="0" applyNumberFormat="1" applyFill="1" applyBorder="1" applyAlignment="1" applyProtection="1">
      <alignment horizontal="center"/>
      <protection locked="0"/>
    </xf>
    <xf numFmtId="0" fontId="8" fillId="0" borderId="0" xfId="0" applyFont="1" applyFill="1" applyBorder="1" applyAlignment="1">
      <alignment horizontal="center" vertical="top" wrapText="1"/>
    </xf>
    <xf numFmtId="0" fontId="0" fillId="0" borderId="0" xfId="0" applyFill="1" applyBorder="1" applyAlignment="1">
      <alignment/>
    </xf>
    <xf numFmtId="173"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0" fontId="8" fillId="0" borderId="0" xfId="0" applyFont="1" applyFill="1" applyBorder="1" applyAlignment="1">
      <alignment/>
    </xf>
    <xf numFmtId="0" fontId="0" fillId="0" borderId="0" xfId="0" applyFill="1" applyBorder="1" applyAlignment="1">
      <alignment horizontal="center" vertical="top" wrapText="1"/>
    </xf>
    <xf numFmtId="0" fontId="0" fillId="19" borderId="0" xfId="0" applyFill="1" applyAlignment="1">
      <alignment horizontal="left"/>
    </xf>
    <xf numFmtId="0" fontId="0" fillId="0" borderId="0" xfId="0" applyFont="1" applyAlignment="1">
      <alignment horizontal="center" vertical="center"/>
    </xf>
    <xf numFmtId="0" fontId="0" fillId="4" borderId="0" xfId="0" applyFill="1" applyAlignment="1">
      <alignment/>
    </xf>
    <xf numFmtId="0" fontId="0" fillId="0" borderId="11" xfId="0" applyFill="1" applyBorder="1" applyAlignment="1">
      <alignment/>
    </xf>
    <xf numFmtId="3" fontId="0" fillId="0" borderId="0" xfId="0" applyNumberFormat="1" applyAlignment="1">
      <alignment/>
    </xf>
    <xf numFmtId="0" fontId="0" fillId="0" borderId="5" xfId="0" applyFont="1" applyFill="1" applyBorder="1" applyAlignment="1">
      <alignment horizontal="center"/>
    </xf>
    <xf numFmtId="0" fontId="0" fillId="4" borderId="0" xfId="0" applyFill="1" applyAlignment="1">
      <alignment horizontal="center"/>
    </xf>
    <xf numFmtId="0" fontId="9" fillId="25" borderId="0" xfId="0" applyFont="1" applyFill="1" applyAlignment="1">
      <alignment/>
    </xf>
    <xf numFmtId="0" fontId="9" fillId="0" borderId="11" xfId="0" applyFont="1" applyFill="1" applyBorder="1" applyAlignment="1">
      <alignment/>
    </xf>
    <xf numFmtId="0" fontId="8" fillId="0" borderId="11" xfId="0" applyFont="1" applyFill="1" applyBorder="1" applyAlignment="1">
      <alignment horizontal="center" vertical="top" wrapText="1"/>
    </xf>
    <xf numFmtId="0" fontId="9" fillId="0" borderId="12" xfId="0" applyFont="1" applyFill="1" applyBorder="1" applyAlignment="1">
      <alignment/>
    </xf>
    <xf numFmtId="0" fontId="0" fillId="0" borderId="12" xfId="0" applyFill="1" applyBorder="1" applyAlignment="1">
      <alignment/>
    </xf>
    <xf numFmtId="0" fontId="8" fillId="0" borderId="0" xfId="0" applyFont="1" applyFill="1" applyAlignment="1">
      <alignment/>
    </xf>
    <xf numFmtId="2" fontId="8" fillId="0" borderId="0" xfId="0" applyNumberFormat="1" applyFont="1" applyFill="1" applyAlignment="1" applyProtection="1">
      <alignment horizontal="right"/>
      <protection locked="0"/>
    </xf>
    <xf numFmtId="1" fontId="0" fillId="0" borderId="0" xfId="0" applyNumberFormat="1" applyFill="1" applyBorder="1" applyAlignment="1">
      <alignment horizontal="center"/>
    </xf>
    <xf numFmtId="0" fontId="18" fillId="0" borderId="0" xfId="0" applyFont="1" applyAlignment="1">
      <alignment/>
    </xf>
    <xf numFmtId="0" fontId="0" fillId="0" borderId="0" xfId="0" applyFill="1" applyAlignment="1">
      <alignment horizontal="left" vertical="top" wrapText="1"/>
    </xf>
    <xf numFmtId="1" fontId="0" fillId="0" borderId="13" xfId="0" applyNumberFormat="1" applyFill="1" applyBorder="1" applyAlignment="1">
      <alignment horizontal="center"/>
    </xf>
    <xf numFmtId="1" fontId="0" fillId="0" borderId="0" xfId="0" applyNumberFormat="1" applyAlignment="1">
      <alignment/>
    </xf>
    <xf numFmtId="174" fontId="0" fillId="0" borderId="0" xfId="0" applyNumberFormat="1" applyAlignment="1">
      <alignment/>
    </xf>
    <xf numFmtId="174" fontId="0" fillId="0" borderId="0" xfId="0" applyNumberFormat="1" applyBorder="1" applyAlignment="1">
      <alignment horizontal="center"/>
    </xf>
    <xf numFmtId="0" fontId="0" fillId="4" borderId="0" xfId="0" applyFill="1" applyBorder="1" applyAlignment="1">
      <alignment horizontal="center"/>
    </xf>
    <xf numFmtId="1" fontId="0" fillId="4" borderId="0" xfId="0" applyNumberFormat="1" applyFill="1" applyAlignment="1">
      <alignment horizontal="center"/>
    </xf>
    <xf numFmtId="1" fontId="0" fillId="0" borderId="0" xfId="0" applyNumberFormat="1" applyFill="1" applyAlignment="1">
      <alignment horizontal="center"/>
    </xf>
    <xf numFmtId="0" fontId="0" fillId="0" borderId="5" xfId="0" applyFill="1" applyBorder="1" applyAlignment="1" applyProtection="1">
      <alignment horizontal="left"/>
      <protection locked="0"/>
    </xf>
    <xf numFmtId="0" fontId="9" fillId="0" borderId="5" xfId="0" applyFont="1" applyFill="1" applyBorder="1" applyAlignment="1">
      <alignment horizontal="center"/>
    </xf>
    <xf numFmtId="3" fontId="9" fillId="0" borderId="5" xfId="0" applyNumberFormat="1" applyFont="1" applyFill="1" applyBorder="1" applyAlignment="1">
      <alignment horizontal="center"/>
    </xf>
    <xf numFmtId="1" fontId="9" fillId="0" borderId="5" xfId="0" applyNumberFormat="1" applyFont="1" applyFill="1" applyBorder="1" applyAlignment="1">
      <alignment horizontal="center"/>
    </xf>
    <xf numFmtId="3" fontId="24" fillId="0" borderId="0" xfId="0" applyNumberFormat="1" applyFont="1" applyFill="1" applyBorder="1" applyAlignment="1">
      <alignment horizontal="center"/>
    </xf>
    <xf numFmtId="0" fontId="23" fillId="0" borderId="0" xfId="0" applyFont="1" applyAlignment="1">
      <alignment/>
    </xf>
    <xf numFmtId="0" fontId="23" fillId="0" borderId="0" xfId="0" applyFont="1" applyFill="1" applyAlignment="1">
      <alignment/>
    </xf>
    <xf numFmtId="0" fontId="23" fillId="0" borderId="0" xfId="0" applyFont="1" applyFill="1" applyAlignment="1">
      <alignment horizontal="right"/>
    </xf>
    <xf numFmtId="0" fontId="23" fillId="0" borderId="0" xfId="0" applyFont="1" applyAlignment="1">
      <alignment horizontal="center"/>
    </xf>
    <xf numFmtId="0" fontId="23" fillId="0" borderId="0"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2" fontId="0" fillId="0" borderId="0" xfId="44" applyNumberFormat="1" applyBorder="1" applyAlignment="1">
      <alignment horizontal="right"/>
      <protection/>
    </xf>
    <xf numFmtId="0" fontId="16" fillId="0" borderId="0" xfId="0" applyFont="1" applyFill="1" applyAlignment="1">
      <alignment/>
    </xf>
    <xf numFmtId="0" fontId="16" fillId="0" borderId="0" xfId="0" applyFont="1" applyAlignment="1">
      <alignment/>
    </xf>
    <xf numFmtId="174" fontId="0" fillId="0" borderId="0" xfId="0" applyNumberFormat="1" applyFill="1" applyBorder="1" applyAlignment="1">
      <alignment horizontal="center"/>
    </xf>
    <xf numFmtId="174" fontId="0" fillId="0" borderId="0" xfId="0" applyNumberFormat="1" applyFill="1" applyBorder="1" applyAlignment="1">
      <alignment horizontal="center" vertical="center"/>
    </xf>
    <xf numFmtId="0" fontId="0" fillId="0" borderId="0" xfId="0" applyNumberFormat="1" applyAlignment="1">
      <alignment/>
    </xf>
    <xf numFmtId="0" fontId="0" fillId="0" borderId="0" xfId="0" applyFont="1" applyAlignment="1">
      <alignment/>
    </xf>
    <xf numFmtId="0" fontId="0" fillId="0" borderId="11" xfId="0" applyFill="1" applyBorder="1" applyAlignment="1">
      <alignment horizontal="right"/>
    </xf>
    <xf numFmtId="0" fontId="0" fillId="0" borderId="11" xfId="0" applyFont="1" applyFill="1" applyBorder="1" applyAlignment="1">
      <alignment horizontal="right" vertical="top" wrapText="1"/>
    </xf>
    <xf numFmtId="0" fontId="0" fillId="0" borderId="0" xfId="0" applyFont="1" applyAlignment="1" applyProtection="1">
      <alignment/>
      <protection locked="0"/>
    </xf>
    <xf numFmtId="0" fontId="15" fillId="0" borderId="0" xfId="0" applyFont="1" applyFill="1" applyAlignment="1">
      <alignment/>
    </xf>
    <xf numFmtId="0" fontId="0" fillId="0" borderId="0" xfId="0" applyFill="1" applyAlignment="1">
      <alignment horizontal="right"/>
    </xf>
    <xf numFmtId="2" fontId="0" fillId="0" borderId="0" xfId="0" applyNumberFormat="1" applyFill="1" applyAlignment="1">
      <alignment horizontal="right"/>
    </xf>
    <xf numFmtId="2" fontId="0" fillId="0" borderId="0" xfId="0" applyNumberFormat="1" applyFill="1" applyAlignment="1">
      <alignment/>
    </xf>
    <xf numFmtId="0" fontId="23" fillId="0" borderId="0" xfId="0" applyFont="1" applyFill="1" applyAlignment="1" applyProtection="1">
      <alignment/>
      <protection locked="0"/>
    </xf>
    <xf numFmtId="0" fontId="19" fillId="0" borderId="0" xfId="0" applyFont="1" applyFill="1" applyAlignment="1">
      <alignment/>
    </xf>
    <xf numFmtId="0" fontId="0" fillId="0" borderId="14" xfId="0" applyFill="1" applyBorder="1" applyAlignment="1">
      <alignment/>
    </xf>
    <xf numFmtId="0" fontId="0" fillId="0" borderId="5" xfId="0" applyFill="1" applyBorder="1" applyAlignment="1">
      <alignment horizontal="center"/>
    </xf>
    <xf numFmtId="0" fontId="18" fillId="0" borderId="0" xfId="0" applyFont="1" applyFill="1" applyAlignment="1">
      <alignment/>
    </xf>
    <xf numFmtId="0" fontId="23" fillId="0" borderId="0" xfId="0" applyFont="1" applyFill="1" applyAlignment="1" applyProtection="1">
      <alignment/>
      <protection hidden="1" locked="0"/>
    </xf>
    <xf numFmtId="0" fontId="23" fillId="0" borderId="0" xfId="0" applyFont="1" applyFill="1" applyAlignment="1">
      <alignment/>
    </xf>
    <xf numFmtId="3" fontId="8" fillId="25" borderId="11" xfId="0" applyNumberFormat="1" applyFont="1" applyFill="1" applyBorder="1" applyAlignment="1" applyProtection="1">
      <alignment/>
      <protection hidden="1" locked="0"/>
    </xf>
    <xf numFmtId="0" fontId="0" fillId="25" borderId="11" xfId="0" applyFill="1" applyBorder="1" applyAlignment="1" applyProtection="1">
      <alignment horizontal="right"/>
      <protection hidden="1" locked="0"/>
    </xf>
    <xf numFmtId="0" fontId="0" fillId="25" borderId="11" xfId="0" applyFill="1" applyBorder="1" applyAlignment="1" applyProtection="1">
      <alignment/>
      <protection hidden="1" locked="0"/>
    </xf>
    <xf numFmtId="0" fontId="0" fillId="19" borderId="0" xfId="0" applyFont="1" applyFill="1" applyAlignment="1">
      <alignment/>
    </xf>
    <xf numFmtId="0" fontId="16" fillId="19" borderId="0" xfId="0" applyFont="1" applyFill="1" applyAlignment="1">
      <alignment/>
    </xf>
    <xf numFmtId="0" fontId="10" fillId="0" borderId="0" xfId="0" applyFont="1" applyFill="1" applyAlignment="1">
      <alignment horizontal="left"/>
    </xf>
    <xf numFmtId="0" fontId="3" fillId="0" borderId="0" xfId="0" applyFont="1" applyFill="1" applyAlignment="1">
      <alignment/>
    </xf>
    <xf numFmtId="0" fontId="0" fillId="0" borderId="0" xfId="0" applyFont="1" applyFill="1" applyAlignment="1">
      <alignment horizontal="left" wrapText="1"/>
    </xf>
    <xf numFmtId="0" fontId="0" fillId="0" borderId="15" xfId="0" applyFill="1" applyBorder="1" applyAlignment="1">
      <alignment/>
    </xf>
    <xf numFmtId="3" fontId="0" fillId="0" borderId="13" xfId="0" applyNumberFormat="1" applyFill="1" applyBorder="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horizontal="center"/>
    </xf>
    <xf numFmtId="0" fontId="26" fillId="0" borderId="0" xfId="0" applyFont="1" applyFill="1" applyBorder="1" applyAlignment="1">
      <alignment/>
    </xf>
    <xf numFmtId="0" fontId="27" fillId="0" borderId="0" xfId="0" applyFont="1" applyFill="1" applyBorder="1" applyAlignment="1">
      <alignment/>
    </xf>
    <xf numFmtId="0" fontId="18" fillId="0" borderId="0" xfId="0" applyFont="1" applyFill="1" applyBorder="1" applyAlignment="1">
      <alignment/>
    </xf>
    <xf numFmtId="0" fontId="28" fillId="0" borderId="0" xfId="0" applyFont="1" applyFill="1" applyAlignment="1">
      <alignment/>
    </xf>
    <xf numFmtId="0" fontId="8" fillId="0" borderId="0" xfId="0" applyFont="1" applyFill="1" applyAlignment="1">
      <alignment horizontal="center" vertical="top" wrapText="1"/>
    </xf>
    <xf numFmtId="0" fontId="0" fillId="0" borderId="0" xfId="0" applyFill="1" applyAlignment="1">
      <alignment vertical="center"/>
    </xf>
    <xf numFmtId="0" fontId="0" fillId="0" borderId="0" xfId="0" applyFill="1" applyAlignment="1">
      <alignment vertical="top"/>
    </xf>
    <xf numFmtId="3" fontId="0" fillId="19" borderId="0" xfId="0" applyNumberFormat="1" applyFill="1" applyBorder="1" applyAlignment="1">
      <alignment/>
    </xf>
    <xf numFmtId="0" fontId="0" fillId="19" borderId="0" xfId="0" applyNumberFormat="1" applyFill="1" applyBorder="1" applyAlignment="1">
      <alignment/>
    </xf>
    <xf numFmtId="2" fontId="0" fillId="19" borderId="0" xfId="0" applyNumberFormat="1" applyFill="1" applyBorder="1" applyAlignment="1">
      <alignment/>
    </xf>
    <xf numFmtId="174" fontId="0" fillId="19" borderId="0" xfId="0" applyNumberFormat="1" applyFill="1" applyBorder="1" applyAlignment="1">
      <alignment/>
    </xf>
    <xf numFmtId="173" fontId="9" fillId="0" borderId="16" xfId="0" applyNumberFormat="1" applyFont="1" applyFill="1" applyBorder="1" applyAlignment="1">
      <alignment horizontal="center" vertical="center"/>
    </xf>
    <xf numFmtId="4" fontId="9" fillId="25" borderId="16" xfId="0" applyNumberFormat="1" applyFont="1" applyFill="1" applyBorder="1" applyAlignment="1">
      <alignment horizontal="center" vertical="center"/>
    </xf>
    <xf numFmtId="173" fontId="9" fillId="25" borderId="16" xfId="0" applyNumberFormat="1" applyFont="1" applyFill="1" applyBorder="1" applyAlignment="1">
      <alignment horizontal="center" vertical="center"/>
    </xf>
    <xf numFmtId="0" fontId="0" fillId="0" borderId="0" xfId="0" applyFill="1" applyBorder="1" applyAlignment="1">
      <alignment wrapText="1"/>
    </xf>
    <xf numFmtId="0" fontId="18" fillId="0" borderId="12" xfId="0" applyFont="1" applyFill="1" applyBorder="1" applyAlignment="1">
      <alignment/>
    </xf>
    <xf numFmtId="0" fontId="8" fillId="19" borderId="13" xfId="0" applyFont="1" applyFill="1" applyBorder="1" applyAlignment="1">
      <alignment horizontal="center"/>
    </xf>
    <xf numFmtId="0" fontId="8" fillId="19" borderId="17" xfId="0" applyFont="1" applyFill="1" applyBorder="1" applyAlignment="1">
      <alignment horizontal="center"/>
    </xf>
    <xf numFmtId="0" fontId="8" fillId="19" borderId="18" xfId="0" applyFont="1" applyFill="1" applyBorder="1" applyAlignment="1">
      <alignment horizontal="center"/>
    </xf>
    <xf numFmtId="0" fontId="8" fillId="19" borderId="18" xfId="0" applyFont="1" applyFill="1" applyBorder="1" applyAlignment="1">
      <alignment/>
    </xf>
    <xf numFmtId="1" fontId="0" fillId="19" borderId="13" xfId="0" applyNumberFormat="1" applyFill="1" applyBorder="1" applyAlignment="1">
      <alignment horizontal="center"/>
    </xf>
    <xf numFmtId="3" fontId="0" fillId="19" borderId="13" xfId="0" applyNumberFormat="1" applyFill="1" applyBorder="1" applyAlignment="1">
      <alignment horizontal="center"/>
    </xf>
    <xf numFmtId="1" fontId="22" fillId="19" borderId="13" xfId="0" applyNumberFormat="1" applyFont="1" applyFill="1" applyBorder="1" applyAlignment="1">
      <alignment horizontal="center"/>
    </xf>
    <xf numFmtId="0" fontId="23" fillId="0" borderId="0" xfId="0" applyFont="1" applyFill="1" applyAlignment="1" applyProtection="1">
      <alignment/>
      <protection locked="0"/>
    </xf>
    <xf numFmtId="0" fontId="0" fillId="25" borderId="19" xfId="0" applyFill="1" applyBorder="1" applyAlignment="1">
      <alignment/>
    </xf>
    <xf numFmtId="0" fontId="10" fillId="0" borderId="20" xfId="0" applyFont="1" applyFill="1" applyBorder="1" applyAlignment="1">
      <alignment/>
    </xf>
    <xf numFmtId="0" fontId="0" fillId="0" borderId="20" xfId="0" applyFill="1" applyBorder="1" applyAlignment="1">
      <alignment/>
    </xf>
    <xf numFmtId="0" fontId="31" fillId="0" borderId="0" xfId="0" applyFont="1" applyAlignment="1">
      <alignment/>
    </xf>
    <xf numFmtId="1" fontId="0" fillId="19" borderId="13" xfId="0" applyNumberFormat="1" applyFont="1" applyFill="1" applyBorder="1" applyAlignment="1">
      <alignment horizontal="center"/>
    </xf>
    <xf numFmtId="2" fontId="27" fillId="0" borderId="21" xfId="0" applyNumberFormat="1" applyFont="1" applyFill="1" applyBorder="1" applyAlignment="1">
      <alignment horizontal="center" vertical="center"/>
    </xf>
    <xf numFmtId="1" fontId="27" fillId="0" borderId="21" xfId="0" applyNumberFormat="1" applyFont="1" applyFill="1" applyBorder="1" applyAlignment="1">
      <alignment horizontal="center" vertical="center"/>
    </xf>
    <xf numFmtId="174" fontId="27" fillId="0" borderId="22" xfId="0" applyNumberFormat="1" applyFont="1" applyFill="1" applyBorder="1" applyAlignment="1">
      <alignment horizontal="center" vertical="center"/>
    </xf>
    <xf numFmtId="3" fontId="27" fillId="0" borderId="21" xfId="0" applyNumberFormat="1" applyFont="1" applyFill="1" applyBorder="1" applyAlignment="1" applyProtection="1">
      <alignment horizontal="center" vertical="center"/>
      <protection locked="0"/>
    </xf>
    <xf numFmtId="175" fontId="27" fillId="0" borderId="23" xfId="0" applyNumberFormat="1" applyFont="1" applyFill="1" applyBorder="1" applyAlignment="1">
      <alignment horizontal="center" vertical="center"/>
    </xf>
    <xf numFmtId="0" fontId="9"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xf>
    <xf numFmtId="0" fontId="24" fillId="0" borderId="11" xfId="0" applyFont="1" applyFill="1" applyBorder="1" applyAlignment="1" applyProtection="1">
      <alignment/>
      <protection locked="0"/>
    </xf>
    <xf numFmtId="172" fontId="0" fillId="25" borderId="11" xfId="0" applyNumberFormat="1" applyFill="1" applyBorder="1" applyAlignment="1" applyProtection="1">
      <alignment/>
      <protection hidden="1"/>
    </xf>
    <xf numFmtId="0" fontId="23" fillId="0" borderId="0" xfId="0" applyFont="1" applyFill="1" applyAlignment="1" applyProtection="1">
      <alignment/>
      <protection hidden="1"/>
    </xf>
    <xf numFmtId="0" fontId="0" fillId="0" borderId="20" xfId="0" applyFill="1" applyBorder="1" applyAlignment="1" applyProtection="1">
      <alignment horizontal="left"/>
      <protection hidden="1" locked="0"/>
    </xf>
    <xf numFmtId="0" fontId="0" fillId="0" borderId="12" xfId="0" applyFill="1" applyBorder="1" applyAlignment="1" applyProtection="1">
      <alignment horizontal="left"/>
      <protection hidden="1" locked="0"/>
    </xf>
    <xf numFmtId="0" fontId="0" fillId="0" borderId="12" xfId="0" applyFill="1" applyBorder="1" applyAlignment="1" applyProtection="1">
      <alignment horizontal="left"/>
      <protection hidden="1"/>
    </xf>
    <xf numFmtId="0" fontId="0" fillId="0" borderId="15" xfId="0" applyFill="1" applyBorder="1" applyAlignment="1" applyProtection="1">
      <alignment horizontal="left"/>
      <protection hidden="1" locked="0"/>
    </xf>
    <xf numFmtId="0" fontId="18" fillId="0" borderId="0" xfId="0" applyFont="1" applyBorder="1" applyAlignment="1">
      <alignment/>
    </xf>
    <xf numFmtId="0" fontId="26" fillId="0" borderId="12" xfId="0" applyFont="1" applyFill="1" applyBorder="1" applyAlignment="1">
      <alignment/>
    </xf>
    <xf numFmtId="0" fontId="18" fillId="0" borderId="12" xfId="0" applyFont="1" applyBorder="1" applyAlignment="1">
      <alignment/>
    </xf>
    <xf numFmtId="0" fontId="27" fillId="0" borderId="12" xfId="0" applyFont="1" applyFill="1" applyBorder="1" applyAlignment="1">
      <alignment/>
    </xf>
    <xf numFmtId="0" fontId="18" fillId="0" borderId="12" xfId="0" applyFont="1" applyFill="1" applyBorder="1" applyAlignment="1">
      <alignment/>
    </xf>
    <xf numFmtId="0" fontId="9" fillId="0" borderId="12" xfId="0" applyFont="1" applyFill="1" applyBorder="1" applyAlignment="1">
      <alignment/>
    </xf>
    <xf numFmtId="0" fontId="0" fillId="0" borderId="12" xfId="0" applyFill="1" applyBorder="1" applyAlignment="1">
      <alignment/>
    </xf>
    <xf numFmtId="0" fontId="5" fillId="0" borderId="0" xfId="0" applyFont="1" applyBorder="1" applyAlignment="1">
      <alignment/>
    </xf>
    <xf numFmtId="17" fontId="0" fillId="0" borderId="0" xfId="0" applyNumberFormat="1" applyFont="1" applyAlignment="1">
      <alignment/>
    </xf>
    <xf numFmtId="0" fontId="0" fillId="19" borderId="0" xfId="0" applyFill="1" applyAlignment="1">
      <alignment/>
    </xf>
    <xf numFmtId="0" fontId="0" fillId="0" borderId="10" xfId="45" applyFont="1" applyFill="1" applyBorder="1" applyProtection="1">
      <alignment/>
      <protection/>
    </xf>
    <xf numFmtId="3" fontId="0" fillId="0" borderId="10" xfId="45" applyNumberFormat="1" applyFont="1" applyFill="1" applyBorder="1" applyAlignment="1" applyProtection="1">
      <alignment horizontal="center"/>
      <protection hidden="1"/>
    </xf>
    <xf numFmtId="174" fontId="0" fillId="0" borderId="10" xfId="0" applyNumberFormat="1" applyBorder="1" applyAlignment="1">
      <alignment horizontal="center"/>
    </xf>
    <xf numFmtId="174" fontId="0" fillId="0" borderId="10" xfId="0" applyNumberFormat="1" applyFill="1" applyBorder="1" applyAlignment="1">
      <alignment horizontal="center"/>
    </xf>
    <xf numFmtId="0" fontId="34" fillId="0" borderId="0" xfId="0" applyFont="1" applyAlignment="1">
      <alignment/>
    </xf>
    <xf numFmtId="0" fontId="0" fillId="19" borderId="0" xfId="0" applyFill="1" applyAlignment="1">
      <alignment wrapText="1"/>
    </xf>
    <xf numFmtId="0" fontId="0" fillId="0" borderId="13" xfId="0" applyBorder="1" applyAlignment="1">
      <alignment/>
    </xf>
    <xf numFmtId="2" fontId="0" fillId="0" borderId="13" xfId="0" applyNumberFormat="1" applyBorder="1" applyAlignment="1">
      <alignment/>
    </xf>
    <xf numFmtId="0" fontId="0" fillId="11" borderId="13" xfId="0" applyFill="1" applyBorder="1" applyAlignment="1">
      <alignment/>
    </xf>
    <xf numFmtId="0" fontId="0" fillId="0" borderId="0" xfId="0" applyNumberFormat="1" applyFill="1" applyBorder="1" applyAlignment="1">
      <alignment/>
    </xf>
    <xf numFmtId="175" fontId="0" fillId="0" borderId="0" xfId="0" applyNumberFormat="1" applyAlignment="1">
      <alignment/>
    </xf>
    <xf numFmtId="175" fontId="0" fillId="0" borderId="24" xfId="0" applyNumberFormat="1" applyBorder="1" applyAlignment="1">
      <alignment/>
    </xf>
    <xf numFmtId="0" fontId="0" fillId="0" borderId="0" xfId="45" applyFont="1" applyFill="1" applyBorder="1" applyAlignment="1" applyProtection="1">
      <alignment horizontal="center"/>
      <protection/>
    </xf>
    <xf numFmtId="172" fontId="8" fillId="0" borderId="24" xfId="0" applyNumberFormat="1" applyFont="1" applyFill="1" applyBorder="1" applyAlignment="1">
      <alignment/>
    </xf>
    <xf numFmtId="0" fontId="0" fillId="16" borderId="0" xfId="0" applyFill="1" applyAlignment="1">
      <alignment/>
    </xf>
    <xf numFmtId="0" fontId="8" fillId="16" borderId="0" xfId="0" applyFont="1" applyFill="1" applyAlignment="1">
      <alignment/>
    </xf>
    <xf numFmtId="0" fontId="0" fillId="16" borderId="0" xfId="0" applyFill="1" applyAlignment="1">
      <alignment horizontal="right"/>
    </xf>
    <xf numFmtId="0" fontId="0" fillId="16" borderId="0" xfId="0" applyFill="1" applyAlignment="1">
      <alignment horizontal="center"/>
    </xf>
    <xf numFmtId="0" fontId="8" fillId="16" borderId="0" xfId="0" applyFont="1" applyFill="1" applyAlignment="1">
      <alignment horizontal="right"/>
    </xf>
    <xf numFmtId="0" fontId="9" fillId="16" borderId="0" xfId="0" applyFont="1" applyFill="1" applyAlignment="1">
      <alignment/>
    </xf>
    <xf numFmtId="0" fontId="0" fillId="19" borderId="0" xfId="0" applyFill="1" applyBorder="1" applyAlignment="1">
      <alignment horizontal="right"/>
    </xf>
    <xf numFmtId="0" fontId="19" fillId="19" borderId="0" xfId="0" applyFont="1" applyFill="1" applyAlignment="1" applyProtection="1">
      <alignment/>
      <protection hidden="1" locked="0"/>
    </xf>
    <xf numFmtId="0" fontId="19" fillId="19" borderId="19" xfId="0" applyFont="1" applyFill="1" applyBorder="1" applyAlignment="1">
      <alignment/>
    </xf>
    <xf numFmtId="0" fontId="0" fillId="19" borderId="19" xfId="0" applyFill="1" applyBorder="1" applyAlignment="1">
      <alignment horizontal="right"/>
    </xf>
    <xf numFmtId="0" fontId="0" fillId="19" borderId="0" xfId="0" applyFill="1" applyBorder="1" applyAlignment="1">
      <alignment/>
    </xf>
    <xf numFmtId="0" fontId="0" fillId="19" borderId="19" xfId="0" applyFill="1" applyBorder="1" applyAlignment="1">
      <alignment/>
    </xf>
    <xf numFmtId="0" fontId="0" fillId="19" borderId="19" xfId="0" applyFill="1" applyBorder="1" applyAlignment="1" applyProtection="1">
      <alignment horizontal="right"/>
      <protection hidden="1"/>
    </xf>
    <xf numFmtId="0" fontId="0" fillId="19" borderId="0" xfId="0" applyFill="1" applyAlignment="1">
      <alignment horizontal="right"/>
    </xf>
    <xf numFmtId="0" fontId="0" fillId="19" borderId="11" xfId="0" applyFill="1" applyBorder="1" applyAlignment="1">
      <alignment/>
    </xf>
    <xf numFmtId="0" fontId="0" fillId="19" borderId="11" xfId="0" applyFill="1" applyBorder="1" applyAlignment="1">
      <alignment horizontal="right"/>
    </xf>
    <xf numFmtId="0" fontId="0" fillId="19" borderId="0" xfId="0" applyFill="1" applyAlignment="1">
      <alignment horizontal="left"/>
    </xf>
    <xf numFmtId="1" fontId="0" fillId="19" borderId="0" xfId="0" applyNumberFormat="1" applyFill="1" applyBorder="1" applyAlignment="1" applyProtection="1">
      <alignment/>
      <protection hidden="1"/>
    </xf>
    <xf numFmtId="0" fontId="8" fillId="19" borderId="0" xfId="0" applyFont="1" applyFill="1" applyAlignment="1">
      <alignment horizontal="right"/>
    </xf>
    <xf numFmtId="0" fontId="8" fillId="19" borderId="0" xfId="0" applyFont="1" applyFill="1" applyAlignment="1">
      <alignment horizontal="center"/>
    </xf>
    <xf numFmtId="0" fontId="8" fillId="19" borderId="5" xfId="0" applyFont="1" applyFill="1" applyBorder="1" applyAlignment="1">
      <alignment horizontal="center"/>
    </xf>
    <xf numFmtId="0" fontId="7" fillId="19" borderId="0" xfId="0" applyFont="1" applyFill="1" applyAlignment="1">
      <alignment/>
    </xf>
    <xf numFmtId="0" fontId="7" fillId="19" borderId="0" xfId="0" applyFont="1" applyFill="1" applyAlignment="1">
      <alignment vertical="top"/>
    </xf>
    <xf numFmtId="0" fontId="3" fillId="19" borderId="0" xfId="0" applyFont="1" applyFill="1" applyAlignment="1" applyProtection="1">
      <alignment horizontal="center"/>
      <protection locked="0"/>
    </xf>
    <xf numFmtId="0" fontId="3" fillId="19" borderId="0" xfId="0" applyFont="1" applyFill="1" applyAlignment="1">
      <alignment horizontal="left"/>
    </xf>
    <xf numFmtId="1" fontId="8" fillId="19" borderId="0" xfId="0" applyNumberFormat="1" applyFont="1" applyFill="1" applyAlignment="1">
      <alignment horizontal="center"/>
    </xf>
    <xf numFmtId="0" fontId="0" fillId="19" borderId="25" xfId="0" applyFont="1" applyFill="1" applyBorder="1" applyAlignment="1">
      <alignment/>
    </xf>
    <xf numFmtId="0" fontId="0" fillId="19" borderId="0" xfId="0" applyFont="1" applyFill="1" applyAlignment="1">
      <alignment/>
    </xf>
    <xf numFmtId="0" fontId="16" fillId="19" borderId="0" xfId="0" applyFont="1" applyFill="1" applyAlignment="1">
      <alignment/>
    </xf>
    <xf numFmtId="0" fontId="8" fillId="19" borderId="0" xfId="0" applyFont="1" applyFill="1" applyAlignment="1">
      <alignment horizontal="center"/>
    </xf>
    <xf numFmtId="0" fontId="0" fillId="19" borderId="0" xfId="0" applyFont="1" applyFill="1" applyAlignment="1">
      <alignment/>
    </xf>
    <xf numFmtId="0" fontId="7" fillId="19" borderId="0" xfId="0" applyFont="1" applyFill="1" applyAlignment="1">
      <alignment horizontal="center"/>
    </xf>
    <xf numFmtId="0" fontId="0" fillId="19" borderId="0" xfId="0" applyFont="1" applyFill="1" applyAlignment="1">
      <alignment/>
    </xf>
    <xf numFmtId="0" fontId="0" fillId="19" borderId="0" xfId="0" applyFont="1" applyFill="1" applyAlignment="1">
      <alignment/>
    </xf>
    <xf numFmtId="0" fontId="0" fillId="19" borderId="0" xfId="0" applyFont="1" applyFill="1" applyAlignment="1">
      <alignment horizontal="right"/>
    </xf>
    <xf numFmtId="0" fontId="25" fillId="19" borderId="0" xfId="0" applyFont="1" applyFill="1" applyAlignment="1">
      <alignment horizontal="right"/>
    </xf>
    <xf numFmtId="0" fontId="28" fillId="19" borderId="0" xfId="0" applyFont="1" applyFill="1" applyAlignment="1">
      <alignment/>
    </xf>
    <xf numFmtId="0" fontId="22" fillId="19" borderId="0" xfId="0" applyFont="1" applyFill="1" applyAlignment="1">
      <alignment/>
    </xf>
    <xf numFmtId="0" fontId="29" fillId="19" borderId="0" xfId="0" applyFont="1" applyFill="1" applyAlignment="1">
      <alignment/>
    </xf>
    <xf numFmtId="0" fontId="28" fillId="19" borderId="0" xfId="0" applyFont="1" applyFill="1" applyAlignment="1">
      <alignment/>
    </xf>
    <xf numFmtId="0" fontId="8" fillId="19" borderId="0" xfId="0" applyFont="1" applyFill="1" applyBorder="1" applyAlignment="1">
      <alignment/>
    </xf>
    <xf numFmtId="0" fontId="28" fillId="19" borderId="0" xfId="0" applyFont="1" applyFill="1" applyAlignment="1">
      <alignment/>
    </xf>
    <xf numFmtId="0" fontId="0" fillId="19" borderId="0" xfId="0" applyFill="1" applyBorder="1" applyAlignment="1" applyProtection="1">
      <alignment horizontal="left"/>
      <protection hidden="1" locked="0"/>
    </xf>
    <xf numFmtId="0" fontId="30" fillId="19" borderId="0" xfId="0" applyFont="1" applyFill="1" applyBorder="1" applyAlignment="1">
      <alignment horizontal="center" vertical="center"/>
    </xf>
    <xf numFmtId="0" fontId="28" fillId="19" borderId="0" xfId="0" applyFont="1" applyFill="1" applyAlignment="1">
      <alignment/>
    </xf>
    <xf numFmtId="0" fontId="19" fillId="19" borderId="0" xfId="0" applyFont="1" applyFill="1" applyAlignment="1">
      <alignment/>
    </xf>
    <xf numFmtId="0" fontId="0" fillId="19" borderId="0" xfId="0" applyFill="1" applyAlignment="1">
      <alignment horizontal="center"/>
    </xf>
    <xf numFmtId="0" fontId="8" fillId="19" borderId="26" xfId="0" applyFont="1" applyFill="1" applyBorder="1" applyAlignment="1">
      <alignment horizontal="center" vertical="top" wrapText="1"/>
    </xf>
    <xf numFmtId="0" fontId="8" fillId="19" borderId="3" xfId="0" applyFont="1" applyFill="1" applyBorder="1" applyAlignment="1">
      <alignment horizontal="center" vertical="top" wrapText="1"/>
    </xf>
    <xf numFmtId="0" fontId="8" fillId="19" borderId="27" xfId="0" applyFont="1" applyFill="1" applyBorder="1" applyAlignment="1">
      <alignment horizontal="center" vertical="top" wrapText="1"/>
    </xf>
    <xf numFmtId="0" fontId="8" fillId="19" borderId="5" xfId="0" applyFont="1" applyFill="1" applyBorder="1" applyAlignment="1">
      <alignment horizontal="center" vertical="top"/>
    </xf>
    <xf numFmtId="0" fontId="8" fillId="19" borderId="5" xfId="0" applyFont="1" applyFill="1" applyBorder="1" applyAlignment="1">
      <alignment horizontal="center" vertical="top" wrapText="1"/>
    </xf>
    <xf numFmtId="0" fontId="15" fillId="19" borderId="5" xfId="0" applyFont="1" applyFill="1" applyBorder="1" applyAlignment="1">
      <alignment horizontal="center" vertical="top"/>
    </xf>
    <xf numFmtId="0" fontId="0" fillId="19" borderId="5" xfId="0" applyFill="1" applyBorder="1" applyAlignment="1">
      <alignment/>
    </xf>
    <xf numFmtId="0" fontId="0" fillId="19" borderId="5" xfId="0" applyFill="1" applyBorder="1" applyAlignment="1" applyProtection="1">
      <alignment horizontal="center"/>
      <protection locked="0"/>
    </xf>
    <xf numFmtId="1" fontId="0" fillId="19" borderId="5" xfId="0" applyNumberFormat="1" applyFill="1" applyBorder="1" applyAlignment="1" applyProtection="1">
      <alignment horizontal="center"/>
      <protection locked="0"/>
    </xf>
    <xf numFmtId="175" fontId="0" fillId="19" borderId="5" xfId="0" applyNumberFormat="1" applyFill="1" applyBorder="1" applyAlignment="1" applyProtection="1">
      <alignment horizontal="center"/>
      <protection locked="0"/>
    </xf>
    <xf numFmtId="2" fontId="0" fillId="19" borderId="5" xfId="0" applyNumberFormat="1" applyFill="1" applyBorder="1" applyAlignment="1" applyProtection="1">
      <alignment horizontal="center"/>
      <protection locked="0"/>
    </xf>
    <xf numFmtId="174" fontId="0" fillId="19" borderId="5" xfId="0" applyNumberFormat="1" applyFill="1" applyBorder="1" applyAlignment="1" applyProtection="1">
      <alignment horizontal="center"/>
      <protection locked="0"/>
    </xf>
    <xf numFmtId="0" fontId="0" fillId="19" borderId="5" xfId="0" applyFill="1" applyBorder="1" applyAlignment="1" applyProtection="1">
      <alignment horizontal="left"/>
      <protection locked="0"/>
    </xf>
    <xf numFmtId="0" fontId="0" fillId="19" borderId="0" xfId="0" applyFont="1" applyFill="1" applyAlignment="1">
      <alignment horizontal="center"/>
    </xf>
    <xf numFmtId="0" fontId="0" fillId="19" borderId="0" xfId="0" applyFont="1" applyFill="1" applyAlignment="1">
      <alignment horizontal="right"/>
    </xf>
    <xf numFmtId="0" fontId="0" fillId="19" borderId="28" xfId="0" applyFont="1" applyFill="1" applyBorder="1" applyAlignment="1">
      <alignment horizontal="right"/>
    </xf>
    <xf numFmtId="0" fontId="0" fillId="19" borderId="0" xfId="0" applyFont="1" applyFill="1" applyAlignment="1">
      <alignment horizontal="left"/>
    </xf>
    <xf numFmtId="0" fontId="28" fillId="19" borderId="0" xfId="0" applyFont="1" applyFill="1" applyAlignment="1">
      <alignment/>
    </xf>
    <xf numFmtId="0" fontId="28" fillId="19" borderId="0" xfId="0" applyFont="1" applyFill="1" applyAlignment="1" applyProtection="1">
      <alignment/>
      <protection hidden="1" locked="0"/>
    </xf>
    <xf numFmtId="0" fontId="0" fillId="25" borderId="0" xfId="0" applyFill="1" applyAlignment="1">
      <alignment/>
    </xf>
    <xf numFmtId="0" fontId="0" fillId="25" borderId="0" xfId="0" applyFont="1" applyFill="1" applyAlignment="1">
      <alignment horizontal="right"/>
    </xf>
    <xf numFmtId="0" fontId="0" fillId="25" borderId="0" xfId="0" applyFont="1" applyFill="1" applyAlignment="1">
      <alignment/>
    </xf>
    <xf numFmtId="0" fontId="26" fillId="0" borderId="0" xfId="0" applyFont="1" applyFill="1" applyBorder="1" applyAlignment="1">
      <alignment/>
    </xf>
    <xf numFmtId="0" fontId="0" fillId="0" borderId="29" xfId="0" applyBorder="1" applyAlignment="1">
      <alignment/>
    </xf>
    <xf numFmtId="0" fontId="9" fillId="0" borderId="29" xfId="0" applyFont="1" applyBorder="1" applyAlignment="1">
      <alignment/>
    </xf>
    <xf numFmtId="1" fontId="0" fillId="0" borderId="19" xfId="0" applyNumberFormat="1" applyBorder="1" applyAlignment="1">
      <alignment/>
    </xf>
    <xf numFmtId="0" fontId="0" fillId="0" borderId="30" xfId="0" applyBorder="1" applyAlignment="1" applyProtection="1">
      <alignment/>
      <protection hidden="1" locked="0"/>
    </xf>
    <xf numFmtId="0" fontId="0" fillId="0" borderId="30" xfId="0" applyBorder="1" applyAlignment="1">
      <alignment/>
    </xf>
    <xf numFmtId="172" fontId="56" fillId="0" borderId="30" xfId="52" applyNumberFormat="1" applyFont="1" applyFill="1" applyBorder="1" applyAlignment="1" applyProtection="1">
      <alignment/>
      <protection/>
    </xf>
    <xf numFmtId="0" fontId="0" fillId="0" borderId="0" xfId="0" applyFont="1" applyFill="1" applyAlignment="1" applyProtection="1">
      <alignment/>
      <protection hidden="1" locked="0"/>
    </xf>
    <xf numFmtId="0" fontId="0" fillId="19" borderId="0" xfId="0" applyFill="1" applyAlignment="1">
      <alignment horizontal="right"/>
    </xf>
    <xf numFmtId="0" fontId="26" fillId="0" borderId="11" xfId="0" applyFont="1" applyFill="1" applyBorder="1" applyAlignment="1">
      <alignment/>
    </xf>
    <xf numFmtId="0" fontId="27" fillId="0" borderId="11" xfId="0" applyFont="1" applyFill="1" applyBorder="1" applyAlignment="1">
      <alignment/>
    </xf>
    <xf numFmtId="0" fontId="0" fillId="19" borderId="19" xfId="0" applyFill="1" applyBorder="1" applyAlignment="1">
      <alignment horizontal="right"/>
    </xf>
    <xf numFmtId="0" fontId="14" fillId="0" borderId="0" xfId="0" applyFont="1" applyAlignment="1">
      <alignment horizontal="justify" vertical="top" wrapText="1"/>
    </xf>
    <xf numFmtId="0" fontId="8" fillId="19" borderId="31" xfId="0" applyFont="1" applyFill="1" applyBorder="1" applyAlignment="1">
      <alignment horizontal="center"/>
    </xf>
    <xf numFmtId="0" fontId="0" fillId="19" borderId="32" xfId="0" applyFill="1" applyBorder="1" applyAlignment="1">
      <alignment/>
    </xf>
    <xf numFmtId="0" fontId="0" fillId="0" borderId="33" xfId="0" applyFill="1" applyBorder="1" applyAlignment="1">
      <alignment horizontal="justify" vertical="top" wrapText="1"/>
    </xf>
    <xf numFmtId="0" fontId="0" fillId="0" borderId="34" xfId="0" applyFill="1" applyBorder="1" applyAlignment="1">
      <alignment horizontal="justify" vertical="top" wrapText="1"/>
    </xf>
    <xf numFmtId="0" fontId="0" fillId="0" borderId="35" xfId="0" applyFill="1" applyBorder="1" applyAlignment="1">
      <alignment horizontal="justify" vertical="top" wrapText="1"/>
    </xf>
    <xf numFmtId="0" fontId="0" fillId="0" borderId="36" xfId="0" applyFill="1" applyBorder="1" applyAlignment="1">
      <alignment horizontal="justify" vertical="top" wrapText="1"/>
    </xf>
    <xf numFmtId="0" fontId="0" fillId="0" borderId="0" xfId="0" applyFill="1" applyBorder="1" applyAlignment="1">
      <alignment horizontal="justify" vertical="top" wrapText="1"/>
    </xf>
    <xf numFmtId="0" fontId="0" fillId="0" borderId="37" xfId="0" applyFill="1" applyBorder="1" applyAlignment="1">
      <alignment horizontal="justify" vertical="top" wrapText="1"/>
    </xf>
    <xf numFmtId="0" fontId="0" fillId="0" borderId="38" xfId="0" applyFill="1" applyBorder="1" applyAlignment="1">
      <alignment horizontal="justify" vertical="top" wrapText="1"/>
    </xf>
    <xf numFmtId="0" fontId="0" fillId="0" borderId="39" xfId="0" applyFill="1" applyBorder="1" applyAlignment="1">
      <alignment horizontal="justify" vertical="top" wrapText="1"/>
    </xf>
    <xf numFmtId="0" fontId="0" fillId="0" borderId="40" xfId="0" applyFill="1" applyBorder="1" applyAlignment="1">
      <alignment horizontal="justify" vertical="top" wrapText="1"/>
    </xf>
    <xf numFmtId="176" fontId="0" fillId="0" borderId="31" xfId="0" applyNumberFormat="1" applyFont="1" applyFill="1" applyBorder="1" applyAlignment="1">
      <alignment horizontal="center"/>
    </xf>
    <xf numFmtId="0" fontId="0" fillId="0" borderId="32" xfId="0" applyBorder="1" applyAlignment="1">
      <alignment/>
    </xf>
    <xf numFmtId="176" fontId="0" fillId="0" borderId="31" xfId="0" applyNumberFormat="1" applyFont="1" applyFill="1" applyBorder="1" applyAlignment="1">
      <alignment horizontal="center"/>
    </xf>
    <xf numFmtId="0" fontId="26" fillId="25" borderId="11" xfId="0" applyFont="1" applyFill="1" applyBorder="1" applyAlignment="1">
      <alignment horizontal="left" vertical="center"/>
    </xf>
    <xf numFmtId="0" fontId="26" fillId="0" borderId="11" xfId="0" applyFont="1" applyFill="1" applyBorder="1" applyAlignment="1">
      <alignment horizontal="left"/>
    </xf>
    <xf numFmtId="0" fontId="0" fillId="19" borderId="0" xfId="0" applyFill="1" applyAlignment="1">
      <alignment horizontal="left"/>
    </xf>
    <xf numFmtId="0" fontId="26" fillId="0" borderId="11" xfId="0" applyFont="1" applyFill="1" applyBorder="1" applyAlignment="1">
      <alignment horizontal="left" vertical="center"/>
    </xf>
    <xf numFmtId="0" fontId="8" fillId="19" borderId="25" xfId="0" applyFont="1" applyFill="1" applyBorder="1" applyAlignment="1">
      <alignment horizontal="right"/>
    </xf>
    <xf numFmtId="0" fontId="7" fillId="0" borderId="0" xfId="0" applyFont="1" applyFill="1" applyBorder="1" applyAlignment="1">
      <alignment horizontal="right"/>
    </xf>
    <xf numFmtId="0" fontId="3" fillId="0" borderId="0" xfId="0" applyFont="1" applyFill="1" applyAlignment="1">
      <alignment horizontal="center"/>
    </xf>
    <xf numFmtId="0" fontId="14" fillId="0" borderId="0" xfId="0" applyFont="1" applyFill="1" applyAlignment="1">
      <alignment horizontal="left" wrapText="1"/>
    </xf>
    <xf numFmtId="0" fontId="13" fillId="0" borderId="0" xfId="0" applyFont="1" applyFill="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center"/>
    </xf>
    <xf numFmtId="0" fontId="8" fillId="19" borderId="0" xfId="0" applyFont="1" applyFill="1" applyAlignment="1">
      <alignment horizontal="center"/>
    </xf>
    <xf numFmtId="0" fontId="3" fillId="19" borderId="0" xfId="0" applyFont="1" applyFill="1" applyAlignment="1">
      <alignment horizontal="right"/>
    </xf>
    <xf numFmtId="0" fontId="3" fillId="0" borderId="0" xfId="0" applyFont="1" applyFill="1" applyAlignment="1">
      <alignment horizontal="right"/>
    </xf>
    <xf numFmtId="0" fontId="0" fillId="0" borderId="0" xfId="0" applyFill="1" applyBorder="1" applyAlignment="1">
      <alignment horizontal="right" vertical="top" wrapText="1"/>
    </xf>
    <xf numFmtId="0" fontId="0" fillId="0" borderId="0" xfId="0" applyFill="1" applyAlignment="1">
      <alignment horizontal="right" vertical="top" wrapText="1"/>
    </xf>
    <xf numFmtId="0" fontId="8" fillId="19" borderId="0" xfId="0" applyFont="1" applyFill="1" applyAlignment="1">
      <alignment horizontal="right"/>
    </xf>
    <xf numFmtId="0" fontId="9" fillId="19" borderId="25" xfId="0" applyFont="1" applyFill="1" applyBorder="1" applyAlignment="1">
      <alignment horizontal="center"/>
    </xf>
    <xf numFmtId="0" fontId="9" fillId="19" borderId="0" xfId="0" applyFont="1" applyFill="1" applyBorder="1" applyAlignment="1">
      <alignment horizontal="center"/>
    </xf>
    <xf numFmtId="0" fontId="0" fillId="0" borderId="0" xfId="0" applyFill="1" applyAlignment="1">
      <alignment vertical="top" wrapText="1"/>
    </xf>
    <xf numFmtId="0" fontId="0" fillId="0" borderId="19" xfId="0" applyFill="1" applyBorder="1" applyAlignment="1">
      <alignment vertical="top" wrapText="1"/>
    </xf>
    <xf numFmtId="0" fontId="8" fillId="0" borderId="0" xfId="0" applyFont="1" applyFill="1" applyBorder="1" applyAlignment="1">
      <alignment horizontal="center" vertical="top" wrapText="1"/>
    </xf>
    <xf numFmtId="0" fontId="0" fillId="0" borderId="0" xfId="0" applyFill="1" applyAlignment="1">
      <alignment horizontal="justify" vertical="top"/>
    </xf>
    <xf numFmtId="0" fontId="8" fillId="19" borderId="25" xfId="0" applyFont="1" applyFill="1" applyBorder="1" applyAlignment="1">
      <alignment horizontal="center" vertical="top" wrapText="1"/>
    </xf>
    <xf numFmtId="0" fontId="8" fillId="19" borderId="0" xfId="0" applyFont="1" applyFill="1" applyBorder="1" applyAlignment="1">
      <alignment horizontal="center" vertical="top" wrapText="1"/>
    </xf>
    <xf numFmtId="44" fontId="8" fillId="19" borderId="25" xfId="35" applyFont="1" applyFill="1" applyBorder="1" applyAlignment="1">
      <alignment horizontal="center" vertical="top" wrapText="1"/>
    </xf>
    <xf numFmtId="44" fontId="8" fillId="19" borderId="0" xfId="35" applyFont="1" applyFill="1" applyBorder="1" applyAlignment="1">
      <alignment horizontal="center" vertical="top" wrapText="1"/>
    </xf>
    <xf numFmtId="0" fontId="15" fillId="19" borderId="25" xfId="0" applyFont="1" applyFill="1" applyBorder="1" applyAlignment="1">
      <alignment horizontal="center" vertical="top" wrapText="1"/>
    </xf>
    <xf numFmtId="0" fontId="15" fillId="19" borderId="0" xfId="0" applyFont="1" applyFill="1" applyAlignment="1">
      <alignment horizontal="center" vertical="top" wrapText="1"/>
    </xf>
    <xf numFmtId="0" fontId="0" fillId="0" borderId="0" xfId="0" applyAlignment="1">
      <alignment horizontal="center"/>
    </xf>
    <xf numFmtId="0" fontId="0" fillId="19" borderId="0" xfId="0" applyFont="1" applyFill="1" applyAlignment="1">
      <alignment horizontal="right"/>
    </xf>
    <xf numFmtId="0" fontId="0" fillId="25" borderId="0" xfId="0" applyFill="1" applyAlignment="1">
      <alignment horizontal="right"/>
    </xf>
    <xf numFmtId="0" fontId="0" fillId="25" borderId="0" xfId="0" applyFont="1" applyFill="1" applyAlignment="1">
      <alignment horizontal="right"/>
    </xf>
    <xf numFmtId="0" fontId="0" fillId="19" borderId="28" xfId="0" applyFont="1" applyFill="1" applyBorder="1" applyAlignment="1">
      <alignment horizontal="right"/>
    </xf>
    <xf numFmtId="0" fontId="9" fillId="0" borderId="29" xfId="0" applyFont="1" applyBorder="1" applyAlignment="1">
      <alignment horizontal="right"/>
    </xf>
    <xf numFmtId="0" fontId="0" fillId="19" borderId="0" xfId="0" applyFont="1" applyFill="1" applyAlignment="1">
      <alignment horizontal="center"/>
    </xf>
    <xf numFmtId="0" fontId="0" fillId="19" borderId="0" xfId="0" applyFill="1" applyAlignment="1">
      <alignment horizontal="center"/>
    </xf>
    <xf numFmtId="0" fontId="26" fillId="0" borderId="0" xfId="0" applyFont="1" applyFill="1" applyBorder="1" applyAlignment="1">
      <alignment horizontal="center"/>
    </xf>
    <xf numFmtId="0" fontId="0" fillId="0" borderId="0" xfId="0" applyFont="1" applyAlignment="1">
      <alignment horizontal="center"/>
    </xf>
    <xf numFmtId="0" fontId="0" fillId="16" borderId="41" xfId="0" applyFill="1" applyBorder="1" applyAlignment="1">
      <alignment horizontal="right"/>
    </xf>
    <xf numFmtId="0" fontId="0" fillId="16" borderId="41" xfId="0" applyFill="1" applyBorder="1" applyAlignment="1">
      <alignment/>
    </xf>
    <xf numFmtId="172" fontId="0" fillId="0" borderId="42" xfId="0" applyNumberFormat="1" applyFill="1" applyBorder="1" applyAlignment="1" applyProtection="1">
      <alignment horizontal="left"/>
      <protection locked="0"/>
    </xf>
    <xf numFmtId="172" fontId="0" fillId="0" borderId="43" xfId="0" applyNumberFormat="1" applyFill="1" applyBorder="1" applyAlignment="1" applyProtection="1">
      <alignment horizontal="left"/>
      <protection locked="0"/>
    </xf>
    <xf numFmtId="0" fontId="0" fillId="16" borderId="44" xfId="0" applyFill="1" applyBorder="1" applyAlignment="1">
      <alignment horizontal="right"/>
    </xf>
    <xf numFmtId="0" fontId="0" fillId="16" borderId="44" xfId="0" applyFill="1" applyBorder="1" applyAlignment="1">
      <alignment/>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Currency" xfId="35"/>
    <cellStyle name="Currency [0]" xfId="36"/>
    <cellStyle name="Dobrá" xfId="37"/>
    <cellStyle name="Kontrolná bunka" xfId="38"/>
    <cellStyle name="Nadpis 1" xfId="39"/>
    <cellStyle name="Nadpis 2" xfId="40"/>
    <cellStyle name="Nadpis 3" xfId="41"/>
    <cellStyle name="Nadpis 4" xfId="42"/>
    <cellStyle name="Neutrálna" xfId="43"/>
    <cellStyle name="normálne_Tabuľka-váženie2" xfId="44"/>
    <cellStyle name="normálne_tepelne_vykony_korad_v2" xfId="45"/>
    <cellStyle name="Percent"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65">
    <dxf>
      <font>
        <strike val="0"/>
        <color theme="0"/>
      </font>
    </dxf>
    <dxf>
      <font>
        <strike val="0"/>
        <color indexed="9"/>
      </font>
    </dxf>
    <dxf>
      <font>
        <color indexed="9"/>
      </font>
    </dxf>
    <dxf>
      <font>
        <strike val="0"/>
        <color indexed="9"/>
      </font>
    </dxf>
    <dxf>
      <font>
        <strike val="0"/>
        <name val="Cambria"/>
        <color theme="0" tint="-0.24993999302387238"/>
      </font>
    </dxf>
    <dxf>
      <font>
        <strike val="0"/>
        <name val="Cambria"/>
        <color theme="0" tint="-0.24993999302387238"/>
      </font>
    </dxf>
    <dxf>
      <font>
        <strike val="0"/>
        <name val="Cambria"/>
        <color theme="0" tint="-0.24993999302387238"/>
      </font>
    </dxf>
    <dxf>
      <font>
        <strike val="0"/>
        <name val="Cambria"/>
        <color theme="0" tint="-0.24993999302387238"/>
      </font>
    </dxf>
    <dxf>
      <font>
        <strike val="0"/>
        <color theme="0"/>
      </font>
    </dxf>
    <dxf>
      <font>
        <color indexed="9"/>
      </font>
    </dxf>
    <dxf>
      <font>
        <color indexed="41"/>
      </font>
    </dxf>
    <dxf>
      <font>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strike val="0"/>
        <color indexed="9"/>
      </font>
    </dxf>
    <dxf>
      <font>
        <b/>
        <i val="0"/>
        <strike val="0"/>
        <color auto="1"/>
      </font>
    </dxf>
    <dxf>
      <font>
        <strike val="0"/>
        <color indexed="9"/>
      </font>
    </dxf>
    <dxf>
      <font>
        <strike val="0"/>
        <color indexed="9"/>
      </font>
    </dxf>
    <dxf>
      <font>
        <strike val="0"/>
        <color indexed="9"/>
      </font>
    </dxf>
    <dxf>
      <font>
        <strike val="0"/>
        <color indexed="9"/>
      </font>
    </dxf>
    <dxf>
      <font>
        <b/>
        <i val="0"/>
        <strike val="0"/>
      </font>
    </dxf>
    <dxf>
      <font>
        <b/>
        <i val="0"/>
        <strike val="0"/>
      </font>
    </dxf>
    <dxf>
      <font>
        <strike val="0"/>
        <color indexed="9"/>
      </font>
    </dxf>
    <dxf>
      <font>
        <b/>
        <i val="0"/>
        <strike val="0"/>
      </font>
    </dxf>
    <dxf>
      <font>
        <strike val="0"/>
        <color indexed="9"/>
      </font>
    </dxf>
    <dxf>
      <font>
        <b/>
        <i val="0"/>
        <strike val="0"/>
      </font>
    </dxf>
    <dxf>
      <font>
        <strike val="0"/>
        <color indexed="9"/>
      </font>
    </dxf>
    <dxf>
      <font>
        <b/>
        <i val="0"/>
        <strike val="0"/>
      </font>
    </dxf>
    <dxf>
      <font>
        <strike val="0"/>
        <color indexed="9"/>
      </font>
    </dxf>
    <dxf>
      <font>
        <b/>
        <i val="0"/>
        <strike val="0"/>
      </font>
    </dxf>
    <dxf>
      <font>
        <strike val="0"/>
        <color indexed="9"/>
      </font>
    </dxf>
    <dxf>
      <font>
        <b/>
        <i val="0"/>
        <strike val="0"/>
      </font>
    </dxf>
    <dxf>
      <font>
        <strike val="0"/>
        <color indexed="9"/>
      </font>
    </dxf>
    <dxf>
      <font>
        <b/>
        <i val="0"/>
        <strike val="0"/>
      </font>
    </dxf>
    <dxf>
      <font>
        <color indexed="9"/>
      </font>
    </dxf>
    <dxf>
      <font>
        <b/>
        <i val="0"/>
        <strike val="0"/>
      </font>
    </dxf>
    <dxf>
      <font>
        <color indexed="9"/>
      </font>
    </dxf>
    <dxf>
      <font>
        <b/>
        <i val="0"/>
      </font>
    </dxf>
    <dxf>
      <font>
        <color indexed="9"/>
      </font>
    </dxf>
    <dxf>
      <font>
        <b/>
        <i val="0"/>
        <strike val="0"/>
      </font>
    </dxf>
    <dxf>
      <font>
        <color indexed="9"/>
      </font>
    </dxf>
    <dxf>
      <font>
        <b/>
        <i val="0"/>
        <strike val="0"/>
      </font>
    </dxf>
    <dxf>
      <font>
        <color indexed="9"/>
      </font>
    </dxf>
    <dxf>
      <font>
        <b/>
        <i val="0"/>
        <strike val="0"/>
        <color auto="1"/>
      </font>
    </dxf>
    <dxf>
      <font>
        <strike val="0"/>
        <color indexed="9"/>
      </font>
    </dxf>
    <dxf>
      <font>
        <strike val="0"/>
        <color indexed="9"/>
      </font>
    </dxf>
    <dxf>
      <font>
        <b/>
        <i val="0"/>
        <strike val="0"/>
        <color auto="1"/>
      </font>
    </dxf>
    <dxf>
      <font>
        <strike val="0"/>
        <color indexed="9"/>
      </font>
    </dxf>
    <dxf>
      <font>
        <strike val="0"/>
        <color indexed="9"/>
      </font>
    </dxf>
    <dxf>
      <font>
        <b/>
        <i val="0"/>
        <strike val="0"/>
        <color auto="1"/>
      </font>
    </dxf>
    <dxf>
      <font>
        <strike val="0"/>
        <color indexed="9"/>
      </font>
    </dxf>
    <dxf>
      <font>
        <strike val="0"/>
        <color indexed="9"/>
      </font>
    </dxf>
    <dxf>
      <font>
        <strike val="0"/>
        <color indexed="9"/>
      </font>
    </dxf>
    <dxf>
      <font>
        <strike val="0"/>
        <color indexed="9"/>
      </font>
    </dxf>
    <dxf>
      <font>
        <strike val="0"/>
        <color theme="0" tint="-0.24993999302387238"/>
      </font>
      <border/>
    </dxf>
    <dxf>
      <font>
        <strike val="0"/>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a:t>
            </a:r>
            <a:r>
              <a:rPr lang="en-US" cap="none" sz="1800" b="1" i="0" u="none" baseline="0">
                <a:solidFill>
                  <a:srgbClr val="000000"/>
                </a:solidFill>
              </a:rPr>
              <a:t>D</a:t>
            </a:r>
            <a:r>
              <a:rPr lang="en-US" cap="none" sz="1800" b="1" i="0" u="none" baseline="0">
                <a:solidFill>
                  <a:srgbClr val="000000"/>
                </a:solidFill>
                <a:latin typeface="Arial"/>
                <a:ea typeface="Arial"/>
                <a:cs typeface="Arial"/>
              </a:rPr>
              <a:t>p - q</a:t>
            </a:r>
            <a:r>
              <a:rPr lang="en-US" cap="none" sz="1800" b="1" i="0" u="none" baseline="-25000">
                <a:solidFill>
                  <a:srgbClr val="000000"/>
                </a:solidFill>
                <a:latin typeface="Arial"/>
                <a:ea typeface="Arial"/>
                <a:cs typeface="Arial"/>
              </a:rPr>
              <a:t>m</a:t>
            </a:r>
            <a:r>
              <a:rPr lang="en-US" cap="none" sz="1800" b="1" i="0" u="none" baseline="0">
                <a:solidFill>
                  <a:srgbClr val="000000"/>
                </a:solidFill>
                <a:latin typeface="Arial"/>
                <a:ea typeface="Arial"/>
                <a:cs typeface="Arial"/>
              </a:rPr>
              <a:t> - k</a:t>
            </a:r>
            <a:r>
              <a:rPr lang="en-US" cap="none" sz="1800" b="1" i="0" u="none" baseline="-25000">
                <a:solidFill>
                  <a:srgbClr val="000000"/>
                </a:solidFill>
                <a:latin typeface="Arial"/>
                <a:ea typeface="Arial"/>
                <a:cs typeface="Arial"/>
              </a:rPr>
              <a:t>V</a:t>
            </a:r>
          </a:p>
        </c:rich>
      </c:tx>
      <c:layout>
        <c:manualLayout>
          <c:xMode val="factor"/>
          <c:yMode val="factor"/>
          <c:x val="0.0105"/>
          <c:y val="-0.02025"/>
        </c:manualLayout>
      </c:layout>
      <c:spPr>
        <a:noFill/>
        <a:ln>
          <a:noFill/>
        </a:ln>
      </c:spPr>
    </c:title>
    <c:plotArea>
      <c:layout>
        <c:manualLayout>
          <c:xMode val="edge"/>
          <c:yMode val="edge"/>
          <c:x val="0.0615"/>
          <c:y val="0.04175"/>
          <c:w val="0.93025"/>
          <c:h val="0.9135"/>
        </c:manualLayout>
      </c:layout>
      <c:scatterChart>
        <c:scatterStyle val="smoothMarker"/>
        <c:varyColors val="0"/>
        <c:ser>
          <c:idx val="0"/>
          <c:order val="0"/>
          <c:tx>
            <c:strRef>
              <c:f>Vložka!$Q$22</c:f>
              <c:strCache>
                <c:ptCount val="1"/>
                <c:pt idx="0">
                  <c:v>1</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Vložka!$Q$25:$Q$48</c:f>
              <c:numCache>
                <c:ptCount val="24"/>
                <c:pt idx="0">
                  <c:v>0.05049867440979675</c:v>
                </c:pt>
                <c:pt idx="1">
                  <c:v>0.11362201742204266</c:v>
                </c:pt>
                <c:pt idx="2">
                  <c:v>0.201994697639187</c:v>
                </c:pt>
                <c:pt idx="3">
                  <c:v>0.3156167150612297</c:v>
                </c:pt>
                <c:pt idx="4">
                  <c:v>0.4544880696881706</c:v>
                </c:pt>
                <c:pt idx="5">
                  <c:v>0.6186087615200102</c:v>
                </c:pt>
                <c:pt idx="6">
                  <c:v>0.807978790556748</c:v>
                </c:pt>
                <c:pt idx="7">
                  <c:v>1.022598156798384</c:v>
                </c:pt>
                <c:pt idx="8">
                  <c:v>1.2624668602449187</c:v>
                </c:pt>
                <c:pt idx="9">
                  <c:v>5.049867440979675</c:v>
                </c:pt>
                <c:pt idx="10">
                  <c:v>11.362201742204267</c:v>
                </c:pt>
                <c:pt idx="11">
                  <c:v>20.1994697639187</c:v>
                </c:pt>
                <c:pt idx="12">
                  <c:v>31.56167150612297</c:v>
                </c:pt>
                <c:pt idx="13">
                  <c:v>45.44880696881707</c:v>
                </c:pt>
                <c:pt idx="14">
                  <c:v>61.86087615200103</c:v>
                </c:pt>
                <c:pt idx="15">
                  <c:v>80.7978790556748</c:v>
                </c:pt>
                <c:pt idx="16">
                  <c:v>102.25981567983841</c:v>
                </c:pt>
                <c:pt idx="17">
                  <c:v>126.24668602449188</c:v>
                </c:pt>
                <c:pt idx="18">
                  <c:v>504.9867440979675</c:v>
                </c:pt>
                <c:pt idx="19">
                  <c:v>1136.2201742204268</c:v>
                </c:pt>
                <c:pt idx="20">
                  <c:v>2019.94697639187</c:v>
                </c:pt>
                <c:pt idx="21">
                  <c:v>3156.167150612297</c:v>
                </c:pt>
                <c:pt idx="22">
                  <c:v>4544.880696881707</c:v>
                </c:pt>
                <c:pt idx="23">
                  <c:v>6186.0876152001</c:v>
                </c:pt>
              </c:numCache>
            </c:numRef>
          </c:yVal>
          <c:smooth val="1"/>
        </c:ser>
        <c:ser>
          <c:idx val="1"/>
          <c:order val="1"/>
          <c:tx>
            <c:strRef>
              <c:f>Vložka!$R$22</c:f>
              <c:strCache>
                <c:ptCount val="1"/>
                <c:pt idx="0">
                  <c:v>2</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Vložka!$R$25:$R$48</c:f>
              <c:numCache>
                <c:ptCount val="24"/>
                <c:pt idx="0">
                  <c:v>0.0048225308641975315</c:v>
                </c:pt>
                <c:pt idx="1">
                  <c:v>0.010850694444444446</c:v>
                </c:pt>
                <c:pt idx="2">
                  <c:v>0.019290123456790126</c:v>
                </c:pt>
                <c:pt idx="3">
                  <c:v>0.030140817901234573</c:v>
                </c:pt>
                <c:pt idx="4">
                  <c:v>0.04340277777777778</c:v>
                </c:pt>
                <c:pt idx="5">
                  <c:v>0.059076003086419776</c:v>
                </c:pt>
                <c:pt idx="6">
                  <c:v>0.0771604938271605</c:v>
                </c:pt>
                <c:pt idx="7">
                  <c:v>0.09765625</c:v>
                </c:pt>
                <c:pt idx="8">
                  <c:v>0.1205632716049383</c:v>
                </c:pt>
                <c:pt idx="9">
                  <c:v>0.4822530864197532</c:v>
                </c:pt>
                <c:pt idx="10">
                  <c:v>1.0850694444444446</c:v>
                </c:pt>
                <c:pt idx="11">
                  <c:v>1.9290123456790127</c:v>
                </c:pt>
                <c:pt idx="12">
                  <c:v>3.014081790123458</c:v>
                </c:pt>
                <c:pt idx="13">
                  <c:v>4.340277777777779</c:v>
                </c:pt>
                <c:pt idx="14">
                  <c:v>5.907600308641977</c:v>
                </c:pt>
                <c:pt idx="15">
                  <c:v>7.716049382716051</c:v>
                </c:pt>
                <c:pt idx="16">
                  <c:v>9.765625</c:v>
                </c:pt>
                <c:pt idx="17">
                  <c:v>12.056327160493831</c:v>
                </c:pt>
                <c:pt idx="18">
                  <c:v>48.225308641975325</c:v>
                </c:pt>
                <c:pt idx="19">
                  <c:v>108.50694444444446</c:v>
                </c:pt>
                <c:pt idx="20">
                  <c:v>192.9012345679013</c:v>
                </c:pt>
                <c:pt idx="21">
                  <c:v>301.40817901234567</c:v>
                </c:pt>
                <c:pt idx="22">
                  <c:v>434.0277777777778</c:v>
                </c:pt>
                <c:pt idx="23">
                  <c:v>590.7600308641977</c:v>
                </c:pt>
              </c:numCache>
            </c:numRef>
          </c:yVal>
          <c:smooth val="1"/>
        </c:ser>
        <c:ser>
          <c:idx val="2"/>
          <c:order val="2"/>
          <c:tx>
            <c:strRef>
              <c:f>Vložka!$S$22</c:f>
              <c:strCache>
                <c:ptCount val="1"/>
                <c:pt idx="0">
                  <c:v>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Vložka!$S$25:$S$48</c:f>
              <c:numCache>
                <c:ptCount val="24"/>
                <c:pt idx="0">
                  <c:v>0.0026986001011975037</c:v>
                </c:pt>
                <c:pt idx="1">
                  <c:v>0.0060718502276943835</c:v>
                </c:pt>
                <c:pt idx="2">
                  <c:v>0.010794400404790015</c:v>
                </c:pt>
                <c:pt idx="3">
                  <c:v>0.016866250632484394</c:v>
                </c:pt>
                <c:pt idx="4">
                  <c:v>0.024287400910777534</c:v>
                </c:pt>
                <c:pt idx="5">
                  <c:v>0.033057851239669415</c:v>
                </c:pt>
                <c:pt idx="6">
                  <c:v>0.04317760161916006</c:v>
                </c:pt>
                <c:pt idx="7">
                  <c:v>0.05464665204924944</c:v>
                </c:pt>
                <c:pt idx="8">
                  <c:v>0.06746500252993758</c:v>
                </c:pt>
                <c:pt idx="9">
                  <c:v>0.2698600101197503</c:v>
                </c:pt>
                <c:pt idx="10">
                  <c:v>0.6071850227694383</c:v>
                </c:pt>
                <c:pt idx="11">
                  <c:v>1.0794400404790012</c:v>
                </c:pt>
                <c:pt idx="12">
                  <c:v>1.6866250632484405</c:v>
                </c:pt>
                <c:pt idx="13">
                  <c:v>2.4287400910777532</c:v>
                </c:pt>
                <c:pt idx="14">
                  <c:v>3.3057851239669422</c:v>
                </c:pt>
                <c:pt idx="15">
                  <c:v>4.317760161916005</c:v>
                </c:pt>
                <c:pt idx="16">
                  <c:v>5.464665204924945</c:v>
                </c:pt>
                <c:pt idx="17">
                  <c:v>6.746500252993762</c:v>
                </c:pt>
                <c:pt idx="18">
                  <c:v>26.98600101197505</c:v>
                </c:pt>
                <c:pt idx="19">
                  <c:v>60.71850227694382</c:v>
                </c:pt>
                <c:pt idx="20">
                  <c:v>107.9440040479002</c:v>
                </c:pt>
                <c:pt idx="21">
                  <c:v>168.66250632484397</c:v>
                </c:pt>
                <c:pt idx="22">
                  <c:v>242.8740091077753</c:v>
                </c:pt>
                <c:pt idx="23">
                  <c:v>330.5785123966942</c:v>
                </c:pt>
              </c:numCache>
            </c:numRef>
          </c:yVal>
          <c:smooth val="1"/>
        </c:ser>
        <c:ser>
          <c:idx val="3"/>
          <c:order val="3"/>
          <c:tx>
            <c:strRef>
              <c:f>Vložka!$T$22</c:f>
              <c:strCache>
                <c:ptCount val="1"/>
                <c:pt idx="0">
                  <c:v>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Vložka!$T$25:$T$48</c:f>
              <c:numCache>
                <c:ptCount val="24"/>
                <c:pt idx="0">
                  <c:v>0.0016064192513283075</c:v>
                </c:pt>
                <c:pt idx="1">
                  <c:v>0.003614443315488693</c:v>
                </c:pt>
                <c:pt idx="2">
                  <c:v>0.00642567700531323</c:v>
                </c:pt>
                <c:pt idx="3">
                  <c:v>0.010040120320801923</c:v>
                </c:pt>
                <c:pt idx="4">
                  <c:v>0.014457773261954772</c:v>
                </c:pt>
                <c:pt idx="5">
                  <c:v>0.019678635828771773</c:v>
                </c:pt>
                <c:pt idx="6">
                  <c:v>0.02570270802125292</c:v>
                </c:pt>
                <c:pt idx="7">
                  <c:v>0.03252998983939822</c:v>
                </c:pt>
                <c:pt idx="8">
                  <c:v>0.04016048128320769</c:v>
                </c:pt>
                <c:pt idx="9">
                  <c:v>0.16064192513283077</c:v>
                </c:pt>
                <c:pt idx="10">
                  <c:v>0.36144433154886924</c:v>
                </c:pt>
                <c:pt idx="11">
                  <c:v>0.6425677005313231</c:v>
                </c:pt>
                <c:pt idx="12">
                  <c:v>1.0040120320801924</c:v>
                </c:pt>
                <c:pt idx="13">
                  <c:v>1.445777326195477</c:v>
                </c:pt>
                <c:pt idx="14">
                  <c:v>1.9678635828771773</c:v>
                </c:pt>
                <c:pt idx="15">
                  <c:v>2.5702708021252922</c:v>
                </c:pt>
                <c:pt idx="16">
                  <c:v>3.2529989839398232</c:v>
                </c:pt>
                <c:pt idx="17">
                  <c:v>4.01604812832077</c:v>
                </c:pt>
                <c:pt idx="18">
                  <c:v>16.06419251328308</c:v>
                </c:pt>
                <c:pt idx="19">
                  <c:v>36.14443315488692</c:v>
                </c:pt>
                <c:pt idx="20">
                  <c:v>64.25677005313231</c:v>
                </c:pt>
                <c:pt idx="21">
                  <c:v>100.40120320801921</c:v>
                </c:pt>
                <c:pt idx="22">
                  <c:v>144.57773261954767</c:v>
                </c:pt>
                <c:pt idx="23">
                  <c:v>196.78635828771766</c:v>
                </c:pt>
              </c:numCache>
            </c:numRef>
          </c:yVal>
          <c:smooth val="1"/>
        </c:ser>
        <c:ser>
          <c:idx val="4"/>
          <c:order val="4"/>
          <c:tx>
            <c:strRef>
              <c:f>Vložka!$U$22</c:f>
              <c:strCache>
                <c:ptCount val="1"/>
                <c:pt idx="0">
                  <c:v>5</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Vložka!$U$25:$U$48</c:f>
              <c:numCache>
                <c:ptCount val="24"/>
                <c:pt idx="0">
                  <c:v>0.0007054561744169847</c:v>
                </c:pt>
                <c:pt idx="1">
                  <c:v>0.0015872763924382153</c:v>
                </c:pt>
                <c:pt idx="2">
                  <c:v>0.0028218246976679387</c:v>
                </c:pt>
                <c:pt idx="3">
                  <c:v>0.004409101090106154</c:v>
                </c:pt>
                <c:pt idx="4">
                  <c:v>0.006349105569752861</c:v>
                </c:pt>
                <c:pt idx="5">
                  <c:v>0.00864183813660806</c:v>
                </c:pt>
                <c:pt idx="6">
                  <c:v>0.011287298790671755</c:v>
                </c:pt>
                <c:pt idx="7">
                  <c:v>0.014285487531943936</c:v>
                </c:pt>
                <c:pt idx="8">
                  <c:v>0.017636404360424615</c:v>
                </c:pt>
                <c:pt idx="9">
                  <c:v>0.07054561744169846</c:v>
                </c:pt>
                <c:pt idx="10">
                  <c:v>0.15872763924382152</c:v>
                </c:pt>
                <c:pt idx="11">
                  <c:v>0.28218246976679384</c:v>
                </c:pt>
                <c:pt idx="12">
                  <c:v>0.4409101090106153</c:v>
                </c:pt>
                <c:pt idx="13">
                  <c:v>0.6349105569752861</c:v>
                </c:pt>
                <c:pt idx="14">
                  <c:v>0.8641838136608064</c:v>
                </c:pt>
                <c:pt idx="15">
                  <c:v>1.1287298790671754</c:v>
                </c:pt>
                <c:pt idx="16">
                  <c:v>1.4285487531943935</c:v>
                </c:pt>
                <c:pt idx="17">
                  <c:v>1.7636404360424611</c:v>
                </c:pt>
                <c:pt idx="18">
                  <c:v>7.0545617441698445</c:v>
                </c:pt>
                <c:pt idx="19">
                  <c:v>15.872763924382152</c:v>
                </c:pt>
                <c:pt idx="20">
                  <c:v>28.218246976679378</c:v>
                </c:pt>
                <c:pt idx="21">
                  <c:v>44.09101090106153</c:v>
                </c:pt>
                <c:pt idx="22">
                  <c:v>63.49105569752861</c:v>
                </c:pt>
                <c:pt idx="23">
                  <c:v>86.4183813660806</c:v>
                </c:pt>
              </c:numCache>
            </c:numRef>
          </c:yVal>
          <c:smooth val="1"/>
        </c:ser>
        <c:ser>
          <c:idx val="5"/>
          <c:order val="5"/>
          <c:tx>
            <c:strRef>
              <c:f>Vložka!$V$22</c:f>
              <c:strCache>
                <c:ptCount val="1"/>
                <c:pt idx="0">
                  <c:v>6</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Vložka!$V$25:$V$48</c:f>
              <c:numCache>
                <c:ptCount val="24"/>
                <c:pt idx="0">
                  <c:v>0.00043043336030715724</c:v>
                </c:pt>
                <c:pt idx="1">
                  <c:v>0.0009684750606911038</c:v>
                </c:pt>
                <c:pt idx="2">
                  <c:v>0.001721733441228629</c:v>
                </c:pt>
                <c:pt idx="3">
                  <c:v>0.0026902085019197336</c:v>
                </c:pt>
                <c:pt idx="4">
                  <c:v>0.0038739002427644153</c:v>
                </c:pt>
                <c:pt idx="5">
                  <c:v>0.005272808663762677</c:v>
                </c:pt>
                <c:pt idx="6">
                  <c:v>0.006886933764914516</c:v>
                </c:pt>
                <c:pt idx="7">
                  <c:v>0.008716275546219935</c:v>
                </c:pt>
                <c:pt idx="8">
                  <c:v>0.010760834007678934</c:v>
                </c:pt>
                <c:pt idx="9">
                  <c:v>0.04304333603071574</c:v>
                </c:pt>
                <c:pt idx="10">
                  <c:v>0.09684750606911038</c:v>
                </c:pt>
                <c:pt idx="11">
                  <c:v>0.17217334412286295</c:v>
                </c:pt>
                <c:pt idx="12">
                  <c:v>0.2690208501919733</c:v>
                </c:pt>
                <c:pt idx="13">
                  <c:v>0.38739002427644154</c:v>
                </c:pt>
                <c:pt idx="14">
                  <c:v>0.5272808663762677</c:v>
                </c:pt>
                <c:pt idx="15">
                  <c:v>0.6886933764914518</c:v>
                </c:pt>
                <c:pt idx="16">
                  <c:v>0.8716275546219935</c:v>
                </c:pt>
                <c:pt idx="17">
                  <c:v>1.0760834007678932</c:v>
                </c:pt>
                <c:pt idx="18">
                  <c:v>4.304333603071573</c:v>
                </c:pt>
                <c:pt idx="19">
                  <c:v>9.684750606911038</c:v>
                </c:pt>
                <c:pt idx="20">
                  <c:v>17.21733441228629</c:v>
                </c:pt>
                <c:pt idx="21">
                  <c:v>26.90208501919733</c:v>
                </c:pt>
                <c:pt idx="22">
                  <c:v>38.73900242764415</c:v>
                </c:pt>
                <c:pt idx="23">
                  <c:v>52.72808663762676</c:v>
                </c:pt>
              </c:numCache>
            </c:numRef>
          </c:yVal>
          <c:smooth val="1"/>
        </c:ser>
        <c:ser>
          <c:idx val="6"/>
          <c:order val="6"/>
          <c:tx>
            <c:strRef>
              <c:f>Vložka!$W$22</c:f>
              <c:strCache>
                <c:ptCount val="1"/>
                <c:pt idx="0">
                  <c:v>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Vložka!$W$25:$W$48</c:f>
              <c:numCache>
                <c:ptCount val="24"/>
                <c:pt idx="0">
                  <c:v>0.0003669940253372675</c:v>
                </c:pt>
                <c:pt idx="1">
                  <c:v>0.0008257365570088519</c:v>
                </c:pt>
                <c:pt idx="2">
                  <c:v>0.00146797610134907</c:v>
                </c:pt>
                <c:pt idx="3">
                  <c:v>0.0022937126583579214</c:v>
                </c:pt>
                <c:pt idx="4">
                  <c:v>0.0033029462280354076</c:v>
                </c:pt>
                <c:pt idx="5">
                  <c:v>0.004495676810381527</c:v>
                </c:pt>
                <c:pt idx="6">
                  <c:v>0.00587190440539628</c:v>
                </c:pt>
                <c:pt idx="7">
                  <c:v>0.007431629013079666</c:v>
                </c:pt>
                <c:pt idx="8">
                  <c:v>0.009174850633431686</c:v>
                </c:pt>
                <c:pt idx="9">
                  <c:v>0.03669940253372674</c:v>
                </c:pt>
                <c:pt idx="10">
                  <c:v>0.08257365570088517</c:v>
                </c:pt>
                <c:pt idx="11">
                  <c:v>0.14679761013490697</c:v>
                </c:pt>
                <c:pt idx="12">
                  <c:v>0.22937126583579223</c:v>
                </c:pt>
                <c:pt idx="13">
                  <c:v>0.33029462280354066</c:v>
                </c:pt>
                <c:pt idx="14">
                  <c:v>0.4495676810381528</c:v>
                </c:pt>
                <c:pt idx="15">
                  <c:v>0.5871904405396279</c:v>
                </c:pt>
                <c:pt idx="16">
                  <c:v>0.7431629013079666</c:v>
                </c:pt>
                <c:pt idx="17">
                  <c:v>0.9174850633431689</c:v>
                </c:pt>
                <c:pt idx="18">
                  <c:v>3.6699402533726757</c:v>
                </c:pt>
                <c:pt idx="19">
                  <c:v>8.257365570088519</c:v>
                </c:pt>
                <c:pt idx="20">
                  <c:v>14.679761013490703</c:v>
                </c:pt>
                <c:pt idx="21">
                  <c:v>22.937126583579218</c:v>
                </c:pt>
                <c:pt idx="22">
                  <c:v>33.029462280354075</c:v>
                </c:pt>
                <c:pt idx="23">
                  <c:v>44.95676810381525</c:v>
                </c:pt>
              </c:numCache>
            </c:numRef>
          </c:yVal>
          <c:smooth val="1"/>
        </c:ser>
        <c:ser>
          <c:idx val="7"/>
          <c:order val="7"/>
          <c:tx>
            <c:strRef>
              <c:f>Vložka!$X$22</c:f>
              <c:strCache>
                <c:ptCount val="1"/>
                <c:pt idx="0">
                  <c:v>8</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Vložka!$X$25:$X$48</c:f>
              <c:numCache>
                <c:ptCount val="24"/>
                <c:pt idx="0">
                  <c:v>0.0003404093081521221</c:v>
                </c:pt>
                <c:pt idx="1">
                  <c:v>0.0007659209433422746</c:v>
                </c:pt>
                <c:pt idx="2">
                  <c:v>0.0013616372326084884</c:v>
                </c:pt>
                <c:pt idx="3">
                  <c:v>0.002127558175950763</c:v>
                </c:pt>
                <c:pt idx="4">
                  <c:v>0.0030636837733690986</c:v>
                </c:pt>
                <c:pt idx="5">
                  <c:v>0.004170014024863495</c:v>
                </c:pt>
                <c:pt idx="6">
                  <c:v>0.005446548930433954</c:v>
                </c:pt>
                <c:pt idx="7">
                  <c:v>0.00689328849008047</c:v>
                </c:pt>
                <c:pt idx="8">
                  <c:v>0.008510232703803052</c:v>
                </c:pt>
                <c:pt idx="9">
                  <c:v>0.03404093081521221</c:v>
                </c:pt>
                <c:pt idx="10">
                  <c:v>0.07659209433422745</c:v>
                </c:pt>
                <c:pt idx="11">
                  <c:v>0.13616372326084883</c:v>
                </c:pt>
                <c:pt idx="12">
                  <c:v>0.21275581759507634</c:v>
                </c:pt>
                <c:pt idx="13">
                  <c:v>0.3063683773369098</c:v>
                </c:pt>
                <c:pt idx="14">
                  <c:v>0.41700140248634954</c:v>
                </c:pt>
                <c:pt idx="15">
                  <c:v>0.5446548930433953</c:v>
                </c:pt>
                <c:pt idx="16">
                  <c:v>0.689328849008047</c:v>
                </c:pt>
                <c:pt idx="17">
                  <c:v>0.8510232703803053</c:v>
                </c:pt>
                <c:pt idx="18">
                  <c:v>3.4040930815212214</c:v>
                </c:pt>
                <c:pt idx="19">
                  <c:v>7.659209433422746</c:v>
                </c:pt>
                <c:pt idx="20">
                  <c:v>13.616372326084885</c:v>
                </c:pt>
                <c:pt idx="21">
                  <c:v>21.275581759507627</c:v>
                </c:pt>
                <c:pt idx="22">
                  <c:v>30.636837733690985</c:v>
                </c:pt>
                <c:pt idx="23">
                  <c:v>41.700140248634945</c:v>
                </c:pt>
              </c:numCache>
            </c:numRef>
          </c:yVal>
          <c:smooth val="1"/>
        </c:ser>
        <c:ser>
          <c:idx val="8"/>
          <c:order val="8"/>
          <c:tx>
            <c:v>hladané</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Vložka!$P$25:$P$48</c:f>
              <c:numCache>
                <c:ptCount val="24"/>
                <c:pt idx="0">
                  <c:v>2</c:v>
                </c:pt>
                <c:pt idx="1">
                  <c:v>3</c:v>
                </c:pt>
                <c:pt idx="2">
                  <c:v>4</c:v>
                </c:pt>
                <c:pt idx="3">
                  <c:v>5</c:v>
                </c:pt>
                <c:pt idx="4">
                  <c:v>6</c:v>
                </c:pt>
                <c:pt idx="5">
                  <c:v>7</c:v>
                </c:pt>
                <c:pt idx="6">
                  <c:v>8</c:v>
                </c:pt>
                <c:pt idx="7">
                  <c:v>9</c:v>
                </c:pt>
                <c:pt idx="8">
                  <c:v>10</c:v>
                </c:pt>
                <c:pt idx="9">
                  <c:v>20</c:v>
                </c:pt>
                <c:pt idx="10">
                  <c:v>30</c:v>
                </c:pt>
                <c:pt idx="11">
                  <c:v>40</c:v>
                </c:pt>
                <c:pt idx="12">
                  <c:v>50</c:v>
                </c:pt>
                <c:pt idx="13">
                  <c:v>60</c:v>
                </c:pt>
                <c:pt idx="14">
                  <c:v>70</c:v>
                </c:pt>
                <c:pt idx="15">
                  <c:v>80</c:v>
                </c:pt>
                <c:pt idx="16">
                  <c:v>90</c:v>
                </c:pt>
                <c:pt idx="17">
                  <c:v>100</c:v>
                </c:pt>
                <c:pt idx="18">
                  <c:v>200</c:v>
                </c:pt>
                <c:pt idx="19">
                  <c:v>300</c:v>
                </c:pt>
                <c:pt idx="20">
                  <c:v>400</c:v>
                </c:pt>
                <c:pt idx="21">
                  <c:v>500</c:v>
                </c:pt>
                <c:pt idx="22">
                  <c:v>600</c:v>
                </c:pt>
                <c:pt idx="23">
                  <c:v>700</c:v>
                </c:pt>
              </c:numCache>
            </c:numRef>
          </c:xVal>
          <c:yVal>
            <c:numRef>
              <c:f>Vložka!$O$25:$O$48</c:f>
              <c:numCache>
                <c:ptCount val="24"/>
                <c:pt idx="0">
                  <c:v>0.0019630999207321865</c:v>
                </c:pt>
                <c:pt idx="1">
                  <c:v>0.004416974821647419</c:v>
                </c:pt>
                <c:pt idx="2">
                  <c:v>0.007852399682928746</c:v>
                </c:pt>
                <c:pt idx="3">
                  <c:v>0.012269374504576163</c:v>
                </c:pt>
                <c:pt idx="4">
                  <c:v>0.017667899286589676</c:v>
                </c:pt>
                <c:pt idx="5">
                  <c:v>0.02404797402896928</c:v>
                </c:pt>
                <c:pt idx="6">
                  <c:v>0.031409598731714984</c:v>
                </c:pt>
                <c:pt idx="7">
                  <c:v>0.039752773394826774</c:v>
                </c:pt>
                <c:pt idx="8">
                  <c:v>0.049077498018304654</c:v>
                </c:pt>
                <c:pt idx="9">
                  <c:v>0.19630999207321861</c:v>
                </c:pt>
                <c:pt idx="10">
                  <c:v>0.4416974821647418</c:v>
                </c:pt>
                <c:pt idx="11">
                  <c:v>0.7852399682928745</c:v>
                </c:pt>
                <c:pt idx="12">
                  <c:v>1.2269374504576165</c:v>
                </c:pt>
                <c:pt idx="13">
                  <c:v>1.7667899286589672</c:v>
                </c:pt>
                <c:pt idx="14">
                  <c:v>2.404797402896928</c:v>
                </c:pt>
                <c:pt idx="15">
                  <c:v>3.140959873171498</c:v>
                </c:pt>
                <c:pt idx="16">
                  <c:v>3.975277339482677</c:v>
                </c:pt>
                <c:pt idx="17">
                  <c:v>4.907749801830466</c:v>
                </c:pt>
                <c:pt idx="18">
                  <c:v>19.630999207321864</c:v>
                </c:pt>
                <c:pt idx="19">
                  <c:v>44.16974821647419</c:v>
                </c:pt>
                <c:pt idx="20">
                  <c:v>78.52399682928746</c:v>
                </c:pt>
                <c:pt idx="21">
                  <c:v>122.69374504576164</c:v>
                </c:pt>
                <c:pt idx="22">
                  <c:v>176.67899286589676</c:v>
                </c:pt>
                <c:pt idx="23">
                  <c:v>240.4797402896928</c:v>
                </c:pt>
              </c:numCache>
            </c:numRef>
          </c:yVal>
          <c:smooth val="1"/>
        </c:ser>
        <c:ser>
          <c:idx val="9"/>
          <c:order val="9"/>
          <c:tx>
            <c:v>suradnica X</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Vložka!$R$59:$S$59</c:f>
              <c:numCache>
                <c:ptCount val="2"/>
                <c:pt idx="0">
                  <c:v>78.18427624973981</c:v>
                </c:pt>
                <c:pt idx="1">
                  <c:v>78.18427624973981</c:v>
                </c:pt>
              </c:numCache>
            </c:numRef>
          </c:xVal>
          <c:yVal>
            <c:numRef>
              <c:f>Vložka!$T$59:$U$59</c:f>
              <c:numCache>
                <c:ptCount val="2"/>
                <c:pt idx="0">
                  <c:v>0.1</c:v>
                </c:pt>
                <c:pt idx="1">
                  <c:v>3</c:v>
                </c:pt>
              </c:numCache>
            </c:numRef>
          </c:yVal>
          <c:smooth val="1"/>
        </c:ser>
        <c:ser>
          <c:idx val="10"/>
          <c:order val="10"/>
          <c:tx>
            <c:v>súradnica Y</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33CCCC"/>
                </a:solidFill>
              </a:ln>
            </c:spPr>
          </c:marker>
          <c:dPt>
            <c:idx val="0"/>
            <c:spPr>
              <a:ln w="25400">
                <a:solidFill>
                  <a:srgbClr val="000000"/>
                </a:solidFill>
                <a:prstDash val="dash"/>
              </a:ln>
            </c:spPr>
            <c:marker>
              <c:symbol val="none"/>
            </c:marker>
          </c:dPt>
          <c:dLbls>
            <c:dLbl>
              <c:idx val="0"/>
              <c:delete val="1"/>
            </c:dLbl>
            <c:numFmt formatCode="#,##0.0" sourceLinked="0"/>
            <c:spPr>
              <a:solidFill>
                <a:srgbClr val="FFFFFF"/>
              </a:solidFill>
              <a:ln w="12700">
                <a:solidFill>
                  <a:srgbClr val="FF0000"/>
                </a:solidFill>
              </a:ln>
            </c:spPr>
            <c:dLblPos val="t"/>
            <c:showLegendKey val="0"/>
            <c:showVal val="1"/>
            <c:showBubbleSize val="0"/>
            <c:showCatName val="1"/>
            <c:showSerName val="0"/>
            <c:showPercent val="0"/>
          </c:dLbls>
          <c:xVal>
            <c:numRef>
              <c:f>Vložka!$R$60:$S$60</c:f>
              <c:numCache>
                <c:ptCount val="2"/>
                <c:pt idx="0">
                  <c:v>1</c:v>
                </c:pt>
                <c:pt idx="1">
                  <c:v>78.18427624973981</c:v>
                </c:pt>
              </c:numCache>
            </c:numRef>
          </c:xVal>
          <c:yVal>
            <c:numRef>
              <c:f>Vložka!$T$60:$U$60</c:f>
              <c:numCache>
                <c:ptCount val="2"/>
                <c:pt idx="0">
                  <c:v>3</c:v>
                </c:pt>
                <c:pt idx="1">
                  <c:v>3</c:v>
                </c:pt>
              </c:numCache>
            </c:numRef>
          </c:yVal>
          <c:smooth val="1"/>
        </c:ser>
        <c:ser>
          <c:idx val="11"/>
          <c:order val="11"/>
          <c:tx>
            <c:v>Bod</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Vložka!$S$61</c:f>
              <c:numCache>
                <c:ptCount val="1"/>
                <c:pt idx="0">
                  <c:v>78.18427624973981</c:v>
                </c:pt>
              </c:numCache>
            </c:numRef>
          </c:xVal>
          <c:yVal>
            <c:numRef>
              <c:f>Vložka!$U$61</c:f>
              <c:numCache>
                <c:ptCount val="1"/>
                <c:pt idx="0">
                  <c:v>3</c:v>
                </c:pt>
              </c:numCache>
            </c:numRef>
          </c:yVal>
          <c:smooth val="1"/>
        </c:ser>
        <c:axId val="8600140"/>
        <c:axId val="10292397"/>
      </c:scatterChart>
      <c:valAx>
        <c:axId val="8600140"/>
        <c:scaling>
          <c:logBase val="10"/>
          <c:orientation val="minMax"/>
          <c:max val="1000"/>
          <c:min val="1"/>
        </c:scaling>
        <c:axPos val="b"/>
        <c:title>
          <c:tx>
            <c:rich>
              <a:bodyPr vert="horz" rot="0" anchor="ctr"/>
              <a:lstStyle/>
              <a:p>
                <a:pPr algn="ctr">
                  <a:defRPr/>
                </a:pPr>
                <a:r>
                  <a:rPr lang="en-US" cap="none" sz="1200" b="1" i="0" u="none" baseline="0">
                    <a:solidFill>
                      <a:srgbClr val="000000"/>
                    </a:solidFill>
                    <a:latin typeface="Arial"/>
                    <a:ea typeface="Arial"/>
                    <a:cs typeface="Arial"/>
                  </a:rPr>
                  <a:t>q</a:t>
                </a:r>
                <a:r>
                  <a:rPr lang="en-US" cap="none" sz="1200" b="1" i="0" u="none" baseline="-25000">
                    <a:solidFill>
                      <a:srgbClr val="000000"/>
                    </a:solidFill>
                    <a:latin typeface="Arial"/>
                    <a:ea typeface="Arial"/>
                    <a:cs typeface="Arial"/>
                  </a:rPr>
                  <a:t>m</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(kg/h)</a:t>
                </a:r>
              </a:p>
            </c:rich>
          </c:tx>
          <c:layout>
            <c:manualLayout>
              <c:xMode val="factor"/>
              <c:yMode val="factor"/>
              <c:x val="0.0045"/>
              <c:y val="-0.00575"/>
            </c:manualLayout>
          </c:layout>
          <c:overlay val="0"/>
          <c:spPr>
            <a:noFill/>
            <a:ln>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292397"/>
        <c:crossesAt val="0"/>
        <c:crossBetween val="midCat"/>
        <c:dispUnits/>
        <c:majorUnit val="10"/>
      </c:valAx>
      <c:valAx>
        <c:axId val="10292397"/>
        <c:scaling>
          <c:logBase val="10"/>
          <c:orientation val="minMax"/>
          <c:max val="100"/>
          <c:min val="0.1"/>
        </c:scaling>
        <c:axPos val="l"/>
        <c:title>
          <c:tx>
            <c:rich>
              <a:bodyPr vert="horz" rot="-5400000" anchor="ctr"/>
              <a:lstStyle/>
              <a:p>
                <a:pPr algn="ctr">
                  <a:defRPr/>
                </a:pPr>
                <a:r>
                  <a:rPr lang="en-US" cap="none" sz="1200" b="1" i="0" u="none" baseline="0">
                    <a:solidFill>
                      <a:srgbClr val="000000"/>
                    </a:solidFill>
                  </a:rPr>
                  <a:t>D</a:t>
                </a:r>
                <a:r>
                  <a:rPr lang="en-US" cap="none" sz="1200" b="1" i="0" u="none" baseline="0">
                    <a:solidFill>
                      <a:srgbClr val="000000"/>
                    </a:solidFill>
                    <a:latin typeface="Arial"/>
                    <a:ea typeface="Arial"/>
                    <a:cs typeface="Arial"/>
                  </a:rPr>
                  <a:t>p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(kPa)</a:t>
                </a:r>
              </a:p>
            </c:rich>
          </c:tx>
          <c:layout>
            <c:manualLayout>
              <c:xMode val="factor"/>
              <c:yMode val="factor"/>
              <c:x val="-0.002"/>
              <c:y val="-0.0022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0"/>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8600140"/>
        <c:crossesAt val="1"/>
        <c:crossBetween val="midCat"/>
        <c:dispUnits/>
      </c:valAx>
      <c:spPr>
        <a:solidFill>
          <a:srgbClr val="FFFFFF"/>
        </a:solidFill>
        <a:ln w="3175">
          <a:noFill/>
        </a:ln>
      </c:spPr>
    </c:plotArea>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3.jpeg" /><Relationship Id="rId3" Type="http://schemas.openxmlformats.org/officeDocument/2006/relationships/image" Target="../media/image14.emf" /><Relationship Id="rId4" Type="http://schemas.openxmlformats.org/officeDocument/2006/relationships/image" Target="../media/image10.png" /><Relationship Id="rId5"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5.png"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png" /><Relationship Id="rId3" Type="http://schemas.openxmlformats.org/officeDocument/2006/relationships/image" Target="../media/image16.jpeg" /><Relationship Id="rId4" Type="http://schemas.openxmlformats.org/officeDocument/2006/relationships/image" Target="../media/image17.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171450</xdr:rowOff>
    </xdr:from>
    <xdr:to>
      <xdr:col>6</xdr:col>
      <xdr:colOff>47625</xdr:colOff>
      <xdr:row>7</xdr:row>
      <xdr:rowOff>9525</xdr:rowOff>
    </xdr:to>
    <xdr:sp>
      <xdr:nvSpPr>
        <xdr:cNvPr id="1" name="Rectangle 6"/>
        <xdr:cNvSpPr>
          <a:spLocks/>
        </xdr:cNvSpPr>
      </xdr:nvSpPr>
      <xdr:spPr>
        <a:xfrm>
          <a:off x="2114550" y="1295400"/>
          <a:ext cx="447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15</xdr:row>
      <xdr:rowOff>152400</xdr:rowOff>
    </xdr:from>
    <xdr:to>
      <xdr:col>11</xdr:col>
      <xdr:colOff>238125</xdr:colOff>
      <xdr:row>17</xdr:row>
      <xdr:rowOff>9525</xdr:rowOff>
    </xdr:to>
    <xdr:sp>
      <xdr:nvSpPr>
        <xdr:cNvPr id="2" name="Rectangle 7"/>
        <xdr:cNvSpPr>
          <a:spLocks/>
        </xdr:cNvSpPr>
      </xdr:nvSpPr>
      <xdr:spPr>
        <a:xfrm>
          <a:off x="3048000" y="3162300"/>
          <a:ext cx="1266825" cy="219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238125</xdr:colOff>
      <xdr:row>2</xdr:row>
      <xdr:rowOff>47625</xdr:rowOff>
    </xdr:from>
    <xdr:to>
      <xdr:col>12</xdr:col>
      <xdr:colOff>28575</xdr:colOff>
      <xdr:row>9</xdr:row>
      <xdr:rowOff>257175</xdr:rowOff>
    </xdr:to>
    <xdr:pic>
      <xdr:nvPicPr>
        <xdr:cNvPr id="3" name="Obrázok 14" descr="Room volume.PNG"/>
        <xdr:cNvPicPr preferRelativeResize="1">
          <a:picLocks noChangeAspect="1"/>
        </xdr:cNvPicPr>
      </xdr:nvPicPr>
      <xdr:blipFill>
        <a:blip r:embed="rId1"/>
        <a:stretch>
          <a:fillRect/>
        </a:stretch>
      </xdr:blipFill>
      <xdr:spPr>
        <a:xfrm>
          <a:off x="2971800" y="647700"/>
          <a:ext cx="1685925" cy="1476375"/>
        </a:xfrm>
        <a:prstGeom prst="rect">
          <a:avLst/>
        </a:prstGeom>
        <a:noFill/>
        <a:ln w="9525" cmpd="sng">
          <a:noFill/>
        </a:ln>
      </xdr:spPr>
    </xdr:pic>
    <xdr:clientData/>
  </xdr:twoCellAnchor>
  <xdr:twoCellAnchor editAs="oneCell">
    <xdr:from>
      <xdr:col>0</xdr:col>
      <xdr:colOff>0</xdr:colOff>
      <xdr:row>0</xdr:row>
      <xdr:rowOff>47625</xdr:rowOff>
    </xdr:from>
    <xdr:to>
      <xdr:col>1</xdr:col>
      <xdr:colOff>409575</xdr:colOff>
      <xdr:row>0</xdr:row>
      <xdr:rowOff>371475</xdr:rowOff>
    </xdr:to>
    <xdr:pic>
      <xdr:nvPicPr>
        <xdr:cNvPr id="4" name="Obrázok 16" descr="Korad_logo.PNG"/>
        <xdr:cNvPicPr preferRelativeResize="1">
          <a:picLocks noChangeAspect="1"/>
        </xdr:cNvPicPr>
      </xdr:nvPicPr>
      <xdr:blipFill>
        <a:blip r:embed="rId2"/>
        <a:stretch>
          <a:fillRect/>
        </a:stretch>
      </xdr:blipFill>
      <xdr:spPr>
        <a:xfrm>
          <a:off x="0" y="47625"/>
          <a:ext cx="971550" cy="323850"/>
        </a:xfrm>
        <a:prstGeom prst="rect">
          <a:avLst/>
        </a:prstGeom>
        <a:noFill/>
        <a:ln w="9525" cmpd="sng">
          <a:noFill/>
        </a:ln>
      </xdr:spPr>
    </xdr:pic>
    <xdr:clientData/>
  </xdr:twoCellAnchor>
  <xdr:twoCellAnchor>
    <xdr:from>
      <xdr:col>8</xdr:col>
      <xdr:colOff>19050</xdr:colOff>
      <xdr:row>15</xdr:row>
      <xdr:rowOff>152400</xdr:rowOff>
    </xdr:from>
    <xdr:to>
      <xdr:col>11</xdr:col>
      <xdr:colOff>276225</xdr:colOff>
      <xdr:row>17</xdr:row>
      <xdr:rowOff>9525</xdr:rowOff>
    </xdr:to>
    <xdr:sp>
      <xdr:nvSpPr>
        <xdr:cNvPr id="5" name="Rectangle 7"/>
        <xdr:cNvSpPr>
          <a:spLocks/>
        </xdr:cNvSpPr>
      </xdr:nvSpPr>
      <xdr:spPr>
        <a:xfrm>
          <a:off x="3086100" y="3162300"/>
          <a:ext cx="1266825" cy="219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152400</xdr:rowOff>
    </xdr:from>
    <xdr:to>
      <xdr:col>5</xdr:col>
      <xdr:colOff>28575</xdr:colOff>
      <xdr:row>7</xdr:row>
      <xdr:rowOff>47625</xdr:rowOff>
    </xdr:to>
    <xdr:sp>
      <xdr:nvSpPr>
        <xdr:cNvPr id="6" name="Šípka doprava 9"/>
        <xdr:cNvSpPr>
          <a:spLocks/>
        </xdr:cNvSpPr>
      </xdr:nvSpPr>
      <xdr:spPr>
        <a:xfrm>
          <a:off x="1866900" y="1276350"/>
          <a:ext cx="247650" cy="276225"/>
        </a:xfrm>
        <a:prstGeom prst="rightArrow">
          <a:avLst>
            <a:gd name="adj" fmla="val 0"/>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22</xdr:row>
      <xdr:rowOff>114300</xdr:rowOff>
    </xdr:from>
    <xdr:to>
      <xdr:col>1</xdr:col>
      <xdr:colOff>238125</xdr:colOff>
      <xdr:row>24</xdr:row>
      <xdr:rowOff>85725</xdr:rowOff>
    </xdr:to>
    <xdr:pic>
      <xdr:nvPicPr>
        <xdr:cNvPr id="7" name="CommandButton1"/>
        <xdr:cNvPicPr preferRelativeResize="1">
          <a:picLocks noChangeAspect="1"/>
        </xdr:cNvPicPr>
      </xdr:nvPicPr>
      <xdr:blipFill>
        <a:blip r:embed="rId3"/>
        <a:stretch>
          <a:fillRect/>
        </a:stretch>
      </xdr:blipFill>
      <xdr:spPr>
        <a:xfrm>
          <a:off x="38100" y="4295775"/>
          <a:ext cx="762000" cy="2952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23</xdr:row>
      <xdr:rowOff>38100</xdr:rowOff>
    </xdr:to>
    <xdr:pic>
      <xdr:nvPicPr>
        <xdr:cNvPr id="1" name="Obrázok 50" descr="Window.PNG"/>
        <xdr:cNvPicPr preferRelativeResize="1">
          <a:picLocks noChangeAspect="1"/>
        </xdr:cNvPicPr>
      </xdr:nvPicPr>
      <xdr:blipFill>
        <a:blip r:embed="rId1"/>
        <a:stretch>
          <a:fillRect/>
        </a:stretch>
      </xdr:blipFill>
      <xdr:spPr>
        <a:xfrm>
          <a:off x="0" y="0"/>
          <a:ext cx="3000375" cy="4867275"/>
        </a:xfrm>
        <a:prstGeom prst="rect">
          <a:avLst/>
        </a:prstGeom>
        <a:noFill/>
        <a:ln w="9525" cmpd="sng">
          <a:noFill/>
        </a:ln>
      </xdr:spPr>
    </xdr:pic>
    <xdr:clientData/>
  </xdr:twoCellAnchor>
  <xdr:twoCellAnchor>
    <xdr:from>
      <xdr:col>7</xdr:col>
      <xdr:colOff>1685925</xdr:colOff>
      <xdr:row>15</xdr:row>
      <xdr:rowOff>9525</xdr:rowOff>
    </xdr:from>
    <xdr:to>
      <xdr:col>8</xdr:col>
      <xdr:colOff>257175</xdr:colOff>
      <xdr:row>16</xdr:row>
      <xdr:rowOff>9525</xdr:rowOff>
    </xdr:to>
    <xdr:sp>
      <xdr:nvSpPr>
        <xdr:cNvPr id="2" name="Obdĺžnik 51"/>
        <xdr:cNvSpPr>
          <a:spLocks/>
        </xdr:cNvSpPr>
      </xdr:nvSpPr>
      <xdr:spPr>
        <a:xfrm>
          <a:off x="5010150" y="3267075"/>
          <a:ext cx="257175" cy="2190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514350</xdr:colOff>
      <xdr:row>0</xdr:row>
      <xdr:rowOff>9525</xdr:rowOff>
    </xdr:from>
    <xdr:to>
      <xdr:col>16</xdr:col>
      <xdr:colOff>28575</xdr:colOff>
      <xdr:row>0</xdr:row>
      <xdr:rowOff>371475</xdr:rowOff>
    </xdr:to>
    <xdr:pic>
      <xdr:nvPicPr>
        <xdr:cNvPr id="3" name="Obrázok 52" descr="Korad_logo.PNG"/>
        <xdr:cNvPicPr preferRelativeResize="1">
          <a:picLocks noChangeAspect="1"/>
        </xdr:cNvPicPr>
      </xdr:nvPicPr>
      <xdr:blipFill>
        <a:blip r:embed="rId2"/>
        <a:stretch>
          <a:fillRect/>
        </a:stretch>
      </xdr:blipFill>
      <xdr:spPr>
        <a:xfrm>
          <a:off x="8372475" y="9525"/>
          <a:ext cx="1085850" cy="361950"/>
        </a:xfrm>
        <a:prstGeom prst="rect">
          <a:avLst/>
        </a:prstGeom>
        <a:noFill/>
        <a:ln w="9525" cmpd="sng">
          <a:noFill/>
        </a:ln>
      </xdr:spPr>
    </xdr:pic>
    <xdr:clientData/>
  </xdr:twoCellAnchor>
  <xdr:twoCellAnchor editAs="oneCell">
    <xdr:from>
      <xdr:col>0</xdr:col>
      <xdr:colOff>38100</xdr:colOff>
      <xdr:row>23</xdr:row>
      <xdr:rowOff>57150</xdr:rowOff>
    </xdr:from>
    <xdr:to>
      <xdr:col>1</xdr:col>
      <xdr:colOff>361950</xdr:colOff>
      <xdr:row>25</xdr:row>
      <xdr:rowOff>19050</xdr:rowOff>
    </xdr:to>
    <xdr:pic>
      <xdr:nvPicPr>
        <xdr:cNvPr id="4" name="CommandButton1"/>
        <xdr:cNvPicPr preferRelativeResize="1">
          <a:picLocks noChangeAspect="1"/>
        </xdr:cNvPicPr>
      </xdr:nvPicPr>
      <xdr:blipFill>
        <a:blip r:embed="rId3"/>
        <a:stretch>
          <a:fillRect/>
        </a:stretch>
      </xdr:blipFill>
      <xdr:spPr>
        <a:xfrm>
          <a:off x="38100" y="4886325"/>
          <a:ext cx="762000" cy="29527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14</xdr:row>
      <xdr:rowOff>0</xdr:rowOff>
    </xdr:from>
    <xdr:ext cx="714375" cy="190500"/>
    <xdr:sp>
      <xdr:nvSpPr>
        <xdr:cNvPr id="1" name="Text Box 14"/>
        <xdr:cNvSpPr txBox="1">
          <a:spLocks noChangeArrowheads="1"/>
        </xdr:cNvSpPr>
      </xdr:nvSpPr>
      <xdr:spPr>
        <a:xfrm>
          <a:off x="638175" y="2447925"/>
          <a:ext cx="714375"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H = 600 mm</a:t>
          </a:r>
        </a:p>
      </xdr:txBody>
    </xdr:sp>
    <xdr:clientData/>
  </xdr:oneCellAnchor>
  <xdr:twoCellAnchor editAs="oneCell">
    <xdr:from>
      <xdr:col>16</xdr:col>
      <xdr:colOff>28575</xdr:colOff>
      <xdr:row>1</xdr:row>
      <xdr:rowOff>28575</xdr:rowOff>
    </xdr:from>
    <xdr:to>
      <xdr:col>20</xdr:col>
      <xdr:colOff>466725</xdr:colOff>
      <xdr:row>11</xdr:row>
      <xdr:rowOff>114300</xdr:rowOff>
    </xdr:to>
    <xdr:pic>
      <xdr:nvPicPr>
        <xdr:cNvPr id="2" name="Picture 22" descr="oldradiators2"/>
        <xdr:cNvPicPr preferRelativeResize="1">
          <a:picLocks noChangeAspect="1"/>
        </xdr:cNvPicPr>
      </xdr:nvPicPr>
      <xdr:blipFill>
        <a:blip r:embed="rId1"/>
        <a:stretch>
          <a:fillRect/>
        </a:stretch>
      </xdr:blipFill>
      <xdr:spPr>
        <a:xfrm>
          <a:off x="6991350" y="171450"/>
          <a:ext cx="2524125" cy="1905000"/>
        </a:xfrm>
        <a:prstGeom prst="rect">
          <a:avLst/>
        </a:prstGeom>
        <a:noFill/>
        <a:ln w="19050" cmpd="sng">
          <a:noFill/>
        </a:ln>
      </xdr:spPr>
    </xdr:pic>
    <xdr:clientData/>
  </xdr:twoCellAnchor>
  <xdr:twoCellAnchor editAs="oneCell">
    <xdr:from>
      <xdr:col>16</xdr:col>
      <xdr:colOff>28575</xdr:colOff>
      <xdr:row>21</xdr:row>
      <xdr:rowOff>47625</xdr:rowOff>
    </xdr:from>
    <xdr:to>
      <xdr:col>20</xdr:col>
      <xdr:colOff>495300</xdr:colOff>
      <xdr:row>36</xdr:row>
      <xdr:rowOff>85725</xdr:rowOff>
    </xdr:to>
    <xdr:pic>
      <xdr:nvPicPr>
        <xdr:cNvPr id="3" name="Picture 29" descr="n6"/>
        <xdr:cNvPicPr preferRelativeResize="1">
          <a:picLocks noChangeAspect="1"/>
        </xdr:cNvPicPr>
      </xdr:nvPicPr>
      <xdr:blipFill>
        <a:blip r:embed="rId2"/>
        <a:stretch>
          <a:fillRect/>
        </a:stretch>
      </xdr:blipFill>
      <xdr:spPr>
        <a:xfrm>
          <a:off x="6991350" y="3657600"/>
          <a:ext cx="2552700" cy="2781300"/>
        </a:xfrm>
        <a:prstGeom prst="rect">
          <a:avLst/>
        </a:prstGeom>
        <a:noFill/>
        <a:ln w="19050" cmpd="sng">
          <a:noFill/>
        </a:ln>
      </xdr:spPr>
    </xdr:pic>
    <xdr:clientData/>
  </xdr:twoCellAnchor>
  <xdr:twoCellAnchor editAs="oneCell">
    <xdr:from>
      <xdr:col>16</xdr:col>
      <xdr:colOff>28575</xdr:colOff>
      <xdr:row>11</xdr:row>
      <xdr:rowOff>133350</xdr:rowOff>
    </xdr:from>
    <xdr:to>
      <xdr:col>20</xdr:col>
      <xdr:colOff>466725</xdr:colOff>
      <xdr:row>21</xdr:row>
      <xdr:rowOff>9525</xdr:rowOff>
    </xdr:to>
    <xdr:pic>
      <xdr:nvPicPr>
        <xdr:cNvPr id="4" name="Picture 35"/>
        <xdr:cNvPicPr preferRelativeResize="1">
          <a:picLocks noChangeAspect="1"/>
        </xdr:cNvPicPr>
      </xdr:nvPicPr>
      <xdr:blipFill>
        <a:blip r:embed="rId3"/>
        <a:srcRect b="1527"/>
        <a:stretch>
          <a:fillRect/>
        </a:stretch>
      </xdr:blipFill>
      <xdr:spPr>
        <a:xfrm>
          <a:off x="6991350" y="2095500"/>
          <a:ext cx="2524125" cy="1524000"/>
        </a:xfrm>
        <a:prstGeom prst="rect">
          <a:avLst/>
        </a:prstGeom>
        <a:noFill/>
        <a:ln w="19050" cmpd="sng">
          <a:noFill/>
        </a:ln>
      </xdr:spPr>
    </xdr:pic>
    <xdr:clientData/>
  </xdr:twoCellAnchor>
  <xdr:oneCellAnchor>
    <xdr:from>
      <xdr:col>14</xdr:col>
      <xdr:colOff>209550</xdr:colOff>
      <xdr:row>1</xdr:row>
      <xdr:rowOff>200025</xdr:rowOff>
    </xdr:from>
    <xdr:ext cx="180975" cy="266700"/>
    <xdr:sp>
      <xdr:nvSpPr>
        <xdr:cNvPr id="5" name="Text Box 37"/>
        <xdr:cNvSpPr txBox="1">
          <a:spLocks noChangeArrowheads="1"/>
        </xdr:cNvSpPr>
      </xdr:nvSpPr>
      <xdr:spPr>
        <a:xfrm>
          <a:off x="6724650" y="342900"/>
          <a:ext cx="180975" cy="266700"/>
        </a:xfrm>
        <a:prstGeom prst="rect">
          <a:avLst/>
        </a:prstGeom>
        <a:noFill/>
        <a:ln w="9525" cmpd="sng">
          <a:noFill/>
        </a:ln>
      </xdr:spPr>
      <xdr:txBody>
        <a:bodyPr vertOverflow="clip" wrap="square" lIns="36576" tIns="41148" rIns="0" bIns="0">
          <a:spAutoFit/>
        </a:bodyPr>
        <a:p>
          <a:pPr algn="l">
            <a:defRPr/>
          </a:pPr>
          <a:r>
            <a:rPr lang="en-US" cap="none" sz="1400" b="1" i="0" u="none" baseline="0">
              <a:solidFill>
                <a:srgbClr val="000000"/>
              </a:solidFill>
              <a:latin typeface="Arial"/>
              <a:ea typeface="Arial"/>
              <a:cs typeface="Arial"/>
            </a:rPr>
            <a:t>**</a:t>
          </a:r>
        </a:p>
      </xdr:txBody>
    </xdr:sp>
    <xdr:clientData/>
  </xdr:oneCellAnchor>
  <xdr:oneCellAnchor>
    <xdr:from>
      <xdr:col>6</xdr:col>
      <xdr:colOff>76200</xdr:colOff>
      <xdr:row>1</xdr:row>
      <xdr:rowOff>200025</xdr:rowOff>
    </xdr:from>
    <xdr:ext cx="104775" cy="266700"/>
    <xdr:sp>
      <xdr:nvSpPr>
        <xdr:cNvPr id="6" name="Text Box 38"/>
        <xdr:cNvSpPr txBox="1">
          <a:spLocks noChangeArrowheads="1"/>
        </xdr:cNvSpPr>
      </xdr:nvSpPr>
      <xdr:spPr>
        <a:xfrm>
          <a:off x="3543300" y="342900"/>
          <a:ext cx="104775" cy="266700"/>
        </a:xfrm>
        <a:prstGeom prst="rect">
          <a:avLst/>
        </a:prstGeom>
        <a:noFill/>
        <a:ln w="9525" cmpd="sng">
          <a:noFill/>
        </a:ln>
      </xdr:spPr>
      <xdr:txBody>
        <a:bodyPr vertOverflow="clip" wrap="square" lIns="36576" tIns="41148" rIns="0" bIns="0">
          <a:spAutoFit/>
        </a:bodyPr>
        <a:p>
          <a:pPr algn="l">
            <a:defRPr/>
          </a:pPr>
          <a:r>
            <a:rPr lang="en-US" cap="none" sz="1400" b="1" i="0" u="none" baseline="0">
              <a:solidFill>
                <a:srgbClr val="000000"/>
              </a:solidFill>
              <a:latin typeface="Arial"/>
              <a:ea typeface="Arial"/>
              <a:cs typeface="Arial"/>
            </a:rPr>
            <a:t>*</a:t>
          </a:r>
        </a:p>
      </xdr:txBody>
    </xdr:sp>
    <xdr:clientData/>
  </xdr:oneCellAnchor>
  <xdr:twoCellAnchor editAs="oneCell">
    <xdr:from>
      <xdr:col>9</xdr:col>
      <xdr:colOff>190500</xdr:colOff>
      <xdr:row>15</xdr:row>
      <xdr:rowOff>57150</xdr:rowOff>
    </xdr:from>
    <xdr:to>
      <xdr:col>11</xdr:col>
      <xdr:colOff>495300</xdr:colOff>
      <xdr:row>16</xdr:row>
      <xdr:rowOff>200025</xdr:rowOff>
    </xdr:to>
    <xdr:pic>
      <xdr:nvPicPr>
        <xdr:cNvPr id="7" name="Obrázok 9" descr="Korad_logo.PNG"/>
        <xdr:cNvPicPr preferRelativeResize="1">
          <a:picLocks noChangeAspect="1"/>
        </xdr:cNvPicPr>
      </xdr:nvPicPr>
      <xdr:blipFill>
        <a:blip r:embed="rId4"/>
        <a:stretch>
          <a:fillRect/>
        </a:stretch>
      </xdr:blipFill>
      <xdr:spPr>
        <a:xfrm>
          <a:off x="4505325" y="2667000"/>
          <a:ext cx="933450" cy="304800"/>
        </a:xfrm>
        <a:prstGeom prst="rect">
          <a:avLst/>
        </a:prstGeom>
        <a:noFill/>
        <a:ln w="9525" cmpd="sng">
          <a:noFill/>
        </a:ln>
      </xdr:spPr>
    </xdr:pic>
    <xdr:clientData/>
  </xdr:twoCellAnchor>
  <xdr:twoCellAnchor editAs="oneCell">
    <xdr:from>
      <xdr:col>1</xdr:col>
      <xdr:colOff>0</xdr:colOff>
      <xdr:row>16</xdr:row>
      <xdr:rowOff>142875</xdr:rowOff>
    </xdr:from>
    <xdr:to>
      <xdr:col>2</xdr:col>
      <xdr:colOff>371475</xdr:colOff>
      <xdr:row>18</xdr:row>
      <xdr:rowOff>0</xdr:rowOff>
    </xdr:to>
    <xdr:pic>
      <xdr:nvPicPr>
        <xdr:cNvPr id="8" name="CommandButton1"/>
        <xdr:cNvPicPr preferRelativeResize="1">
          <a:picLocks noChangeAspect="1"/>
        </xdr:cNvPicPr>
      </xdr:nvPicPr>
      <xdr:blipFill>
        <a:blip r:embed="rId5"/>
        <a:stretch>
          <a:fillRect/>
        </a:stretch>
      </xdr:blipFill>
      <xdr:spPr>
        <a:xfrm>
          <a:off x="228600" y="2914650"/>
          <a:ext cx="762000" cy="2952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4</xdr:row>
      <xdr:rowOff>9525</xdr:rowOff>
    </xdr:from>
    <xdr:to>
      <xdr:col>4</xdr:col>
      <xdr:colOff>209550</xdr:colOff>
      <xdr:row>5</xdr:row>
      <xdr:rowOff>142875</xdr:rowOff>
    </xdr:to>
    <xdr:sp>
      <xdr:nvSpPr>
        <xdr:cNvPr id="1" name="Text Box 7"/>
        <xdr:cNvSpPr txBox="1">
          <a:spLocks noChangeArrowheads="1"/>
        </xdr:cNvSpPr>
      </xdr:nvSpPr>
      <xdr:spPr>
        <a:xfrm>
          <a:off x="2409825" y="1266825"/>
          <a:ext cx="228600" cy="238125"/>
        </a:xfrm>
        <a:prstGeom prst="rect">
          <a:avLst/>
        </a:prstGeom>
        <a:solidFill>
          <a:srgbClr val="C0C0C0"/>
        </a:solidFill>
        <a:ln w="9525" cmpd="sng">
          <a:noFill/>
        </a:ln>
      </xdr:spPr>
      <xdr:txBody>
        <a:bodyPr vertOverflow="clip" wrap="square" lIns="0" tIns="0" rIns="36576" bIns="27432" anchor="b"/>
        <a:p>
          <a:pPr algn="r">
            <a:defRPr/>
          </a:pPr>
          <a:r>
            <a:rPr lang="en-US" cap="none" sz="1000" b="0" i="0" u="none" baseline="0">
              <a:solidFill>
                <a:srgbClr val="000000"/>
              </a:solidFill>
              <a:latin typeface="Arial"/>
              <a:ea typeface="Arial"/>
              <a:cs typeface="Arial"/>
            </a:rPr>
            <a:t>°C</a:t>
          </a:r>
        </a:p>
      </xdr:txBody>
    </xdr:sp>
    <xdr:clientData/>
  </xdr:twoCellAnchor>
  <xdr:twoCellAnchor>
    <xdr:from>
      <xdr:col>3</xdr:col>
      <xdr:colOff>514350</xdr:colOff>
      <xdr:row>6</xdr:row>
      <xdr:rowOff>171450</xdr:rowOff>
    </xdr:from>
    <xdr:to>
      <xdr:col>4</xdr:col>
      <xdr:colOff>342900</xdr:colOff>
      <xdr:row>8</xdr:row>
      <xdr:rowOff>9525</xdr:rowOff>
    </xdr:to>
    <xdr:sp>
      <xdr:nvSpPr>
        <xdr:cNvPr id="2" name="Text Box 9"/>
        <xdr:cNvSpPr txBox="1">
          <a:spLocks noChangeArrowheads="1"/>
        </xdr:cNvSpPr>
      </xdr:nvSpPr>
      <xdr:spPr>
        <a:xfrm>
          <a:off x="2419350" y="1724025"/>
          <a:ext cx="352425" cy="190500"/>
        </a:xfrm>
        <a:prstGeom prst="rect">
          <a:avLst/>
        </a:prstGeom>
        <a:solidFill>
          <a:srgbClr val="C0C0C0"/>
        </a:solidFill>
        <a:ln w="9525" cmpd="sng">
          <a:noFill/>
        </a:ln>
      </xdr:spPr>
      <xdr:txBody>
        <a:bodyPr vertOverflow="clip" wrap="square" lIns="36000" tIns="0" rIns="0" bIns="0" anchor="b"/>
        <a:p>
          <a:pPr algn="l">
            <a:defRPr/>
          </a:pPr>
          <a:r>
            <a:rPr lang="en-US" cap="none" sz="1000" b="0" i="0" u="none" baseline="0">
              <a:solidFill>
                <a:srgbClr val="000000"/>
              </a:solidFill>
              <a:latin typeface="Arial"/>
              <a:ea typeface="Arial"/>
              <a:cs typeface="Arial"/>
            </a:rPr>
            <a:t>°C</a:t>
          </a:r>
        </a:p>
      </xdr:txBody>
    </xdr:sp>
    <xdr:clientData/>
  </xdr:twoCellAnchor>
  <xdr:twoCellAnchor>
    <xdr:from>
      <xdr:col>3</xdr:col>
      <xdr:colOff>514350</xdr:colOff>
      <xdr:row>8</xdr:row>
      <xdr:rowOff>0</xdr:rowOff>
    </xdr:from>
    <xdr:to>
      <xdr:col>4</xdr:col>
      <xdr:colOff>257175</xdr:colOff>
      <xdr:row>9</xdr:row>
      <xdr:rowOff>47625</xdr:rowOff>
    </xdr:to>
    <xdr:sp>
      <xdr:nvSpPr>
        <xdr:cNvPr id="3" name="Text Box 10"/>
        <xdr:cNvSpPr txBox="1">
          <a:spLocks noChangeArrowheads="1"/>
        </xdr:cNvSpPr>
      </xdr:nvSpPr>
      <xdr:spPr>
        <a:xfrm>
          <a:off x="2419350" y="1905000"/>
          <a:ext cx="266700" cy="238125"/>
        </a:xfrm>
        <a:prstGeom prst="rect">
          <a:avLst/>
        </a:prstGeom>
        <a:solidFill>
          <a:srgbClr val="C0C0C0"/>
        </a:solidFill>
        <a:ln w="9525" cmpd="sng">
          <a:noFill/>
        </a:ln>
      </xdr:spPr>
      <xdr:txBody>
        <a:bodyPr vertOverflow="clip" wrap="square" lIns="0" tIns="0" rIns="36576" bIns="27432" anchor="b"/>
        <a:p>
          <a:pPr algn="ctr">
            <a:defRPr/>
          </a:pPr>
          <a:r>
            <a:rPr lang="en-US" cap="none" sz="1000" b="0" i="0" u="none" baseline="0">
              <a:solidFill>
                <a:srgbClr val="000000"/>
              </a:solidFill>
              <a:latin typeface="Arial"/>
              <a:ea typeface="Arial"/>
              <a:cs typeface="Arial"/>
            </a:rPr>
            <a:t>°C</a:t>
          </a:r>
        </a:p>
      </xdr:txBody>
    </xdr:sp>
    <xdr:clientData/>
  </xdr:twoCellAnchor>
  <xdr:twoCellAnchor>
    <xdr:from>
      <xdr:col>3</xdr:col>
      <xdr:colOff>514350</xdr:colOff>
      <xdr:row>5</xdr:row>
      <xdr:rowOff>142875</xdr:rowOff>
    </xdr:from>
    <xdr:to>
      <xdr:col>4</xdr:col>
      <xdr:colOff>209550</xdr:colOff>
      <xdr:row>6</xdr:row>
      <xdr:rowOff>171450</xdr:rowOff>
    </xdr:to>
    <xdr:sp>
      <xdr:nvSpPr>
        <xdr:cNvPr id="4" name="Text Box 14"/>
        <xdr:cNvSpPr txBox="1">
          <a:spLocks noChangeArrowheads="1"/>
        </xdr:cNvSpPr>
      </xdr:nvSpPr>
      <xdr:spPr>
        <a:xfrm>
          <a:off x="2419350" y="1504950"/>
          <a:ext cx="219075" cy="219075"/>
        </a:xfrm>
        <a:prstGeom prst="rect">
          <a:avLst/>
        </a:prstGeom>
        <a:solidFill>
          <a:srgbClr val="C0C0C0"/>
        </a:solidFill>
        <a:ln w="9525" cmpd="sng">
          <a:noFill/>
        </a:ln>
      </xdr:spPr>
      <xdr:txBody>
        <a:bodyPr vertOverflow="clip" wrap="square" lIns="0" tIns="0" rIns="36576" bIns="27432" anchor="b"/>
        <a:p>
          <a:pPr algn="r">
            <a:defRPr/>
          </a:pPr>
          <a:r>
            <a:rPr lang="en-US" cap="none" sz="1000" b="0" i="0" u="none" baseline="0">
              <a:solidFill>
                <a:srgbClr val="000000"/>
              </a:solidFill>
              <a:latin typeface="Arial"/>
              <a:ea typeface="Arial"/>
              <a:cs typeface="Arial"/>
            </a:rPr>
            <a:t>°C</a:t>
          </a:r>
        </a:p>
      </xdr:txBody>
    </xdr:sp>
    <xdr:clientData/>
  </xdr:twoCellAnchor>
  <xdr:twoCellAnchor editAs="oneCell">
    <xdr:from>
      <xdr:col>0</xdr:col>
      <xdr:colOff>0</xdr:colOff>
      <xdr:row>0</xdr:row>
      <xdr:rowOff>57150</xdr:rowOff>
    </xdr:from>
    <xdr:to>
      <xdr:col>1</xdr:col>
      <xdr:colOff>323850</xdr:colOff>
      <xdr:row>0</xdr:row>
      <xdr:rowOff>447675</xdr:rowOff>
    </xdr:to>
    <xdr:pic>
      <xdr:nvPicPr>
        <xdr:cNvPr id="5" name="Obrázok 12" descr="Korad_logo.PNG"/>
        <xdr:cNvPicPr preferRelativeResize="1">
          <a:picLocks noChangeAspect="1"/>
        </xdr:cNvPicPr>
      </xdr:nvPicPr>
      <xdr:blipFill>
        <a:blip r:embed="rId1"/>
        <a:stretch>
          <a:fillRect/>
        </a:stretch>
      </xdr:blipFill>
      <xdr:spPr>
        <a:xfrm>
          <a:off x="0" y="57150"/>
          <a:ext cx="1181100" cy="390525"/>
        </a:xfrm>
        <a:prstGeom prst="rect">
          <a:avLst/>
        </a:prstGeom>
        <a:noFill/>
        <a:ln w="9525" cmpd="sng">
          <a:noFill/>
        </a:ln>
      </xdr:spPr>
    </xdr:pic>
    <xdr:clientData/>
  </xdr:twoCellAnchor>
  <xdr:twoCellAnchor editAs="oneCell">
    <xdr:from>
      <xdr:col>4</xdr:col>
      <xdr:colOff>400050</xdr:colOff>
      <xdr:row>3</xdr:row>
      <xdr:rowOff>123825</xdr:rowOff>
    </xdr:from>
    <xdr:to>
      <xdr:col>7</xdr:col>
      <xdr:colOff>409575</xdr:colOff>
      <xdr:row>9</xdr:row>
      <xdr:rowOff>85725</xdr:rowOff>
    </xdr:to>
    <xdr:pic>
      <xdr:nvPicPr>
        <xdr:cNvPr id="6" name="Obrázok 7" descr="Radiátor.PNG"/>
        <xdr:cNvPicPr preferRelativeResize="1">
          <a:picLocks noChangeAspect="1"/>
        </xdr:cNvPicPr>
      </xdr:nvPicPr>
      <xdr:blipFill>
        <a:blip r:embed="rId2"/>
        <a:stretch>
          <a:fillRect/>
        </a:stretch>
      </xdr:blipFill>
      <xdr:spPr>
        <a:xfrm>
          <a:off x="2828925" y="1085850"/>
          <a:ext cx="1581150" cy="1095375"/>
        </a:xfrm>
        <a:prstGeom prst="rect">
          <a:avLst/>
        </a:prstGeom>
        <a:noFill/>
        <a:ln w="9525" cmpd="sng">
          <a:noFill/>
        </a:ln>
      </xdr:spPr>
    </xdr:pic>
    <xdr:clientData/>
  </xdr:twoCellAnchor>
  <xdr:twoCellAnchor editAs="oneCell">
    <xdr:from>
      <xdr:col>0</xdr:col>
      <xdr:colOff>47625</xdr:colOff>
      <xdr:row>28</xdr:row>
      <xdr:rowOff>142875</xdr:rowOff>
    </xdr:from>
    <xdr:to>
      <xdr:col>0</xdr:col>
      <xdr:colOff>809625</xdr:colOff>
      <xdr:row>30</xdr:row>
      <xdr:rowOff>114300</xdr:rowOff>
    </xdr:to>
    <xdr:pic>
      <xdr:nvPicPr>
        <xdr:cNvPr id="7" name="CommandButton1"/>
        <xdr:cNvPicPr preferRelativeResize="1">
          <a:picLocks noChangeAspect="1"/>
        </xdr:cNvPicPr>
      </xdr:nvPicPr>
      <xdr:blipFill>
        <a:blip r:embed="rId3"/>
        <a:stretch>
          <a:fillRect/>
        </a:stretch>
      </xdr:blipFill>
      <xdr:spPr>
        <a:xfrm>
          <a:off x="47625" y="5629275"/>
          <a:ext cx="762000" cy="2952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10</xdr:row>
      <xdr:rowOff>104775</xdr:rowOff>
    </xdr:from>
    <xdr:to>
      <xdr:col>8</xdr:col>
      <xdr:colOff>9525</xdr:colOff>
      <xdr:row>10</xdr:row>
      <xdr:rowOff>352425</xdr:rowOff>
    </xdr:to>
    <xdr:sp macro="[0]!Kopírovanie">
      <xdr:nvSpPr>
        <xdr:cNvPr id="1" name="AutoShape 11"/>
        <xdr:cNvSpPr>
          <a:spLocks/>
        </xdr:cNvSpPr>
      </xdr:nvSpPr>
      <xdr:spPr>
        <a:xfrm>
          <a:off x="3133725" y="1647825"/>
          <a:ext cx="1533525" cy="247650"/>
        </a:xfrm>
        <a:prstGeom prst="round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000" b="1" i="0" u="none" baseline="0">
              <a:solidFill>
                <a:srgbClr val="000000"/>
              </a:solidFill>
              <a:latin typeface="Arial"/>
              <a:ea typeface="Arial"/>
              <a:cs typeface="Arial"/>
            </a:rPr>
            <a:t>Kopíruj do zoznamu</a:t>
          </a:r>
        </a:p>
      </xdr:txBody>
    </xdr:sp>
    <xdr:clientData/>
  </xdr:twoCellAnchor>
  <xdr:twoCellAnchor>
    <xdr:from>
      <xdr:col>5</xdr:col>
      <xdr:colOff>28575</xdr:colOff>
      <xdr:row>35</xdr:row>
      <xdr:rowOff>66675</xdr:rowOff>
    </xdr:from>
    <xdr:to>
      <xdr:col>7</xdr:col>
      <xdr:colOff>133350</xdr:colOff>
      <xdr:row>36</xdr:row>
      <xdr:rowOff>152400</xdr:rowOff>
    </xdr:to>
    <xdr:sp macro="[0]!Mazanie">
      <xdr:nvSpPr>
        <xdr:cNvPr id="2" name="AutoShape 19"/>
        <xdr:cNvSpPr>
          <a:spLocks/>
        </xdr:cNvSpPr>
      </xdr:nvSpPr>
      <xdr:spPr>
        <a:xfrm>
          <a:off x="2543175" y="6438900"/>
          <a:ext cx="1543050" cy="247650"/>
        </a:xfrm>
        <a:prstGeom prst="round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000" b="1" i="0" u="none" baseline="0">
              <a:solidFill>
                <a:srgbClr val="000000"/>
              </a:solidFill>
              <a:latin typeface="Arial"/>
              <a:ea typeface="Arial"/>
              <a:cs typeface="Arial"/>
            </a:rPr>
            <a:t>Zmazat zoznam</a:t>
          </a:r>
        </a:p>
      </xdr:txBody>
    </xdr:sp>
    <xdr:clientData/>
  </xdr:twoCellAnchor>
  <xdr:twoCellAnchor editAs="oneCell">
    <xdr:from>
      <xdr:col>0</xdr:col>
      <xdr:colOff>209550</xdr:colOff>
      <xdr:row>0</xdr:row>
      <xdr:rowOff>133350</xdr:rowOff>
    </xdr:from>
    <xdr:to>
      <xdr:col>3</xdr:col>
      <xdr:colOff>95250</xdr:colOff>
      <xdr:row>3</xdr:row>
      <xdr:rowOff>28575</xdr:rowOff>
    </xdr:to>
    <xdr:pic>
      <xdr:nvPicPr>
        <xdr:cNvPr id="3" name="Obrázok 10" descr="Korad_logo.PNG"/>
        <xdr:cNvPicPr preferRelativeResize="1">
          <a:picLocks noChangeAspect="1"/>
        </xdr:cNvPicPr>
      </xdr:nvPicPr>
      <xdr:blipFill>
        <a:blip r:embed="rId1"/>
        <a:stretch>
          <a:fillRect/>
        </a:stretch>
      </xdr:blipFill>
      <xdr:spPr>
        <a:xfrm>
          <a:off x="209550" y="133350"/>
          <a:ext cx="1123950" cy="381000"/>
        </a:xfrm>
        <a:prstGeom prst="rect">
          <a:avLst/>
        </a:prstGeom>
        <a:noFill/>
        <a:ln w="9525" cmpd="sng">
          <a:noFill/>
        </a:ln>
      </xdr:spPr>
    </xdr:pic>
    <xdr:clientData/>
  </xdr:twoCellAnchor>
  <xdr:twoCellAnchor>
    <xdr:from>
      <xdr:col>0</xdr:col>
      <xdr:colOff>276225</xdr:colOff>
      <xdr:row>11</xdr:row>
      <xdr:rowOff>9525</xdr:rowOff>
    </xdr:from>
    <xdr:to>
      <xdr:col>2</xdr:col>
      <xdr:colOff>209550</xdr:colOff>
      <xdr:row>11</xdr:row>
      <xdr:rowOff>200025</xdr:rowOff>
    </xdr:to>
    <xdr:sp>
      <xdr:nvSpPr>
        <xdr:cNvPr id="4" name="Rectangle 33"/>
        <xdr:cNvSpPr>
          <a:spLocks/>
        </xdr:cNvSpPr>
      </xdr:nvSpPr>
      <xdr:spPr>
        <a:xfrm>
          <a:off x="276225" y="2076450"/>
          <a:ext cx="5905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13</xdr:row>
      <xdr:rowOff>495300</xdr:rowOff>
    </xdr:from>
    <xdr:to>
      <xdr:col>10</xdr:col>
      <xdr:colOff>38100</xdr:colOff>
      <xdr:row>34</xdr:row>
      <xdr:rowOff>47625</xdr:rowOff>
    </xdr:to>
    <xdr:sp>
      <xdr:nvSpPr>
        <xdr:cNvPr id="5" name="Rectangle 18"/>
        <xdr:cNvSpPr>
          <a:spLocks/>
        </xdr:cNvSpPr>
      </xdr:nvSpPr>
      <xdr:spPr>
        <a:xfrm>
          <a:off x="228600" y="2933700"/>
          <a:ext cx="5943600" cy="3324225"/>
        </a:xfrm>
        <a:prstGeom prst="rect">
          <a:avLst/>
        </a:prstGeom>
        <a:solidFill>
          <a:srgbClr val="C0C0C0">
            <a:alpha val="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5</xdr:row>
      <xdr:rowOff>114300</xdr:rowOff>
    </xdr:from>
    <xdr:to>
      <xdr:col>8</xdr:col>
      <xdr:colOff>66675</xdr:colOff>
      <xdr:row>7</xdr:row>
      <xdr:rowOff>57150</xdr:rowOff>
    </xdr:to>
    <xdr:sp>
      <xdr:nvSpPr>
        <xdr:cNvPr id="6" name="Text Box 37"/>
        <xdr:cNvSpPr txBox="1">
          <a:spLocks noChangeArrowheads="1"/>
        </xdr:cNvSpPr>
      </xdr:nvSpPr>
      <xdr:spPr>
        <a:xfrm>
          <a:off x="3876675" y="981075"/>
          <a:ext cx="847725" cy="2667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Calibri"/>
              <a:ea typeface="Calibri"/>
              <a:cs typeface="Calibri"/>
            </a:rPr>
            <a:t>(W)</a:t>
          </a:r>
          <a:r>
            <a:rPr lang="en-US" cap="none" sz="800" b="0" i="0" u="none" baseline="0">
              <a:solidFill>
                <a:srgbClr val="000000"/>
              </a:solidFill>
              <a:latin typeface="Arial"/>
              <a:ea typeface="Arial"/>
              <a:cs typeface="Arial"/>
            </a:rPr>
            <a:t> 75/65/20 °C
</a:t>
          </a:r>
        </a:p>
      </xdr:txBody>
    </xdr:sp>
    <xdr:clientData/>
  </xdr:twoCellAnchor>
  <xdr:twoCellAnchor>
    <xdr:from>
      <xdr:col>7</xdr:col>
      <xdr:colOff>57150</xdr:colOff>
      <xdr:row>13</xdr:row>
      <xdr:rowOff>190500</xdr:rowOff>
    </xdr:from>
    <xdr:to>
      <xdr:col>7</xdr:col>
      <xdr:colOff>676275</xdr:colOff>
      <xdr:row>13</xdr:row>
      <xdr:rowOff>409575</xdr:rowOff>
    </xdr:to>
    <xdr:sp>
      <xdr:nvSpPr>
        <xdr:cNvPr id="7" name="Text Box 37"/>
        <xdr:cNvSpPr txBox="1">
          <a:spLocks noChangeArrowheads="1"/>
        </xdr:cNvSpPr>
      </xdr:nvSpPr>
      <xdr:spPr>
        <a:xfrm>
          <a:off x="4010025" y="2628900"/>
          <a:ext cx="619125" cy="2190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W)</a:t>
          </a:r>
        </a:p>
      </xdr:txBody>
    </xdr:sp>
    <xdr:clientData/>
  </xdr:twoCellAnchor>
  <xdr:twoCellAnchor editAs="oneCell">
    <xdr:from>
      <xdr:col>1</xdr:col>
      <xdr:colOff>28575</xdr:colOff>
      <xdr:row>35</xdr:row>
      <xdr:rowOff>19050</xdr:rowOff>
    </xdr:from>
    <xdr:to>
      <xdr:col>2</xdr:col>
      <xdr:colOff>438150</xdr:colOff>
      <xdr:row>36</xdr:row>
      <xdr:rowOff>152400</xdr:rowOff>
    </xdr:to>
    <xdr:pic>
      <xdr:nvPicPr>
        <xdr:cNvPr id="8" name="CommandButton1"/>
        <xdr:cNvPicPr preferRelativeResize="1">
          <a:picLocks noChangeAspect="1"/>
        </xdr:cNvPicPr>
      </xdr:nvPicPr>
      <xdr:blipFill>
        <a:blip r:embed="rId2"/>
        <a:stretch>
          <a:fillRect/>
        </a:stretch>
      </xdr:blipFill>
      <xdr:spPr>
        <a:xfrm>
          <a:off x="333375" y="6391275"/>
          <a:ext cx="762000" cy="2952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85725</xdr:rowOff>
    </xdr:from>
    <xdr:to>
      <xdr:col>16</xdr:col>
      <xdr:colOff>161925</xdr:colOff>
      <xdr:row>47</xdr:row>
      <xdr:rowOff>19050</xdr:rowOff>
    </xdr:to>
    <xdr:graphicFrame>
      <xdr:nvGraphicFramePr>
        <xdr:cNvPr id="1" name="Graf 1"/>
        <xdr:cNvGraphicFramePr/>
      </xdr:nvGraphicFramePr>
      <xdr:xfrm>
        <a:off x="0" y="3171825"/>
        <a:ext cx="9201150" cy="5276850"/>
      </xdr:xfrm>
      <a:graphic>
        <a:graphicData uri="http://schemas.openxmlformats.org/drawingml/2006/chart">
          <c:chart xmlns:c="http://schemas.openxmlformats.org/drawingml/2006/chart" r:id="rId1"/>
        </a:graphicData>
      </a:graphic>
    </xdr:graphicFrame>
    <xdr:clientData/>
  </xdr:twoCellAnchor>
  <xdr:oneCellAnchor>
    <xdr:from>
      <xdr:col>9</xdr:col>
      <xdr:colOff>314325</xdr:colOff>
      <xdr:row>21</xdr:row>
      <xdr:rowOff>95250</xdr:rowOff>
    </xdr:from>
    <xdr:ext cx="152400" cy="219075"/>
    <xdr:sp>
      <xdr:nvSpPr>
        <xdr:cNvPr id="2" name="BlokTextu 2"/>
        <xdr:cNvSpPr txBox="1">
          <a:spLocks noChangeArrowheads="1"/>
        </xdr:cNvSpPr>
      </xdr:nvSpPr>
      <xdr:spPr>
        <a:xfrm>
          <a:off x="5286375" y="4314825"/>
          <a:ext cx="152400"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rPr>
            <a:t>1</a:t>
          </a:r>
        </a:p>
      </xdr:txBody>
    </xdr:sp>
    <xdr:clientData/>
  </xdr:oneCellAnchor>
  <xdr:oneCellAnchor>
    <xdr:from>
      <xdr:col>11</xdr:col>
      <xdr:colOff>428625</xdr:colOff>
      <xdr:row>21</xdr:row>
      <xdr:rowOff>114300</xdr:rowOff>
    </xdr:from>
    <xdr:ext cx="152400" cy="219075"/>
    <xdr:sp>
      <xdr:nvSpPr>
        <xdr:cNvPr id="3" name="BlokTextu 3"/>
        <xdr:cNvSpPr txBox="1">
          <a:spLocks noChangeArrowheads="1"/>
        </xdr:cNvSpPr>
      </xdr:nvSpPr>
      <xdr:spPr>
        <a:xfrm>
          <a:off x="6619875" y="4333875"/>
          <a:ext cx="152400"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rPr>
            <a:t>2</a:t>
          </a:r>
        </a:p>
      </xdr:txBody>
    </xdr:sp>
    <xdr:clientData/>
  </xdr:oneCellAnchor>
  <xdr:oneCellAnchor>
    <xdr:from>
      <xdr:col>12</xdr:col>
      <xdr:colOff>247650</xdr:colOff>
      <xdr:row>21</xdr:row>
      <xdr:rowOff>104775</xdr:rowOff>
    </xdr:from>
    <xdr:ext cx="152400" cy="219075"/>
    <xdr:sp>
      <xdr:nvSpPr>
        <xdr:cNvPr id="4" name="BlokTextu 4"/>
        <xdr:cNvSpPr txBox="1">
          <a:spLocks noChangeArrowheads="1"/>
        </xdr:cNvSpPr>
      </xdr:nvSpPr>
      <xdr:spPr>
        <a:xfrm>
          <a:off x="6962775" y="4324350"/>
          <a:ext cx="152400"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rPr>
            <a:t>3</a:t>
          </a:r>
        </a:p>
      </xdr:txBody>
    </xdr:sp>
    <xdr:clientData/>
  </xdr:oneCellAnchor>
  <xdr:oneCellAnchor>
    <xdr:from>
      <xdr:col>12</xdr:col>
      <xdr:colOff>561975</xdr:colOff>
      <xdr:row>21</xdr:row>
      <xdr:rowOff>104775</xdr:rowOff>
    </xdr:from>
    <xdr:ext cx="152400" cy="219075"/>
    <xdr:sp>
      <xdr:nvSpPr>
        <xdr:cNvPr id="5" name="BlokTextu 5"/>
        <xdr:cNvSpPr txBox="1">
          <a:spLocks noChangeArrowheads="1"/>
        </xdr:cNvSpPr>
      </xdr:nvSpPr>
      <xdr:spPr>
        <a:xfrm>
          <a:off x="7277100" y="4324350"/>
          <a:ext cx="152400"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rPr>
            <a:t>4</a:t>
          </a:r>
        </a:p>
      </xdr:txBody>
    </xdr:sp>
    <xdr:clientData/>
  </xdr:oneCellAnchor>
  <xdr:oneCellAnchor>
    <xdr:from>
      <xdr:col>13</xdr:col>
      <xdr:colOff>409575</xdr:colOff>
      <xdr:row>21</xdr:row>
      <xdr:rowOff>104775</xdr:rowOff>
    </xdr:from>
    <xdr:ext cx="152400" cy="219075"/>
    <xdr:sp>
      <xdr:nvSpPr>
        <xdr:cNvPr id="6" name="BlokTextu 6"/>
        <xdr:cNvSpPr txBox="1">
          <a:spLocks noChangeArrowheads="1"/>
        </xdr:cNvSpPr>
      </xdr:nvSpPr>
      <xdr:spPr>
        <a:xfrm>
          <a:off x="7734300" y="4324350"/>
          <a:ext cx="152400" cy="2190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rPr>
            <a:t>5</a:t>
          </a:r>
        </a:p>
      </xdr:txBody>
    </xdr:sp>
    <xdr:clientData/>
  </xdr:oneCellAnchor>
  <xdr:oneCellAnchor>
    <xdr:from>
      <xdr:col>14</xdr:col>
      <xdr:colOff>447675</xdr:colOff>
      <xdr:row>21</xdr:row>
      <xdr:rowOff>95250</xdr:rowOff>
    </xdr:from>
    <xdr:ext cx="133350" cy="180975"/>
    <xdr:sp>
      <xdr:nvSpPr>
        <xdr:cNvPr id="7" name="BlokTextu 7"/>
        <xdr:cNvSpPr txBox="1">
          <a:spLocks noChangeArrowheads="1"/>
        </xdr:cNvSpPr>
      </xdr:nvSpPr>
      <xdr:spPr>
        <a:xfrm>
          <a:off x="8267700" y="4314825"/>
          <a:ext cx="133350" cy="180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8</a:t>
          </a:r>
        </a:p>
      </xdr:txBody>
    </xdr:sp>
    <xdr:clientData/>
  </xdr:oneCellAnchor>
  <xdr:oneCellAnchor>
    <xdr:from>
      <xdr:col>14</xdr:col>
      <xdr:colOff>190500</xdr:colOff>
      <xdr:row>21</xdr:row>
      <xdr:rowOff>95250</xdr:rowOff>
    </xdr:from>
    <xdr:ext cx="190500" cy="219075"/>
    <xdr:sp>
      <xdr:nvSpPr>
        <xdr:cNvPr id="8" name="BlokTextu 8"/>
        <xdr:cNvSpPr txBox="1">
          <a:spLocks noChangeArrowheads="1"/>
        </xdr:cNvSpPr>
      </xdr:nvSpPr>
      <xdr:spPr>
        <a:xfrm>
          <a:off x="8010525" y="4314825"/>
          <a:ext cx="190500"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6</a:t>
          </a:r>
        </a:p>
      </xdr:txBody>
    </xdr:sp>
    <xdr:clientData/>
  </xdr:oneCellAnchor>
  <xdr:oneCellAnchor>
    <xdr:from>
      <xdr:col>14</xdr:col>
      <xdr:colOff>342900</xdr:colOff>
      <xdr:row>21</xdr:row>
      <xdr:rowOff>95250</xdr:rowOff>
    </xdr:from>
    <xdr:ext cx="123825" cy="219075"/>
    <xdr:sp>
      <xdr:nvSpPr>
        <xdr:cNvPr id="9" name="BlokTextu 9"/>
        <xdr:cNvSpPr txBox="1">
          <a:spLocks noChangeArrowheads="1"/>
        </xdr:cNvSpPr>
      </xdr:nvSpPr>
      <xdr:spPr>
        <a:xfrm>
          <a:off x="8162925" y="4314825"/>
          <a:ext cx="1238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7</a:t>
          </a:r>
        </a:p>
      </xdr:txBody>
    </xdr:sp>
    <xdr:clientData/>
  </xdr:oneCellAnchor>
  <xdr:twoCellAnchor editAs="oneCell">
    <xdr:from>
      <xdr:col>0</xdr:col>
      <xdr:colOff>0</xdr:colOff>
      <xdr:row>1</xdr:row>
      <xdr:rowOff>0</xdr:rowOff>
    </xdr:from>
    <xdr:to>
      <xdr:col>1</xdr:col>
      <xdr:colOff>276225</xdr:colOff>
      <xdr:row>1</xdr:row>
      <xdr:rowOff>390525</xdr:rowOff>
    </xdr:to>
    <xdr:pic>
      <xdr:nvPicPr>
        <xdr:cNvPr id="10" name="Obrázok 12" descr="Korad_logo.PNG"/>
        <xdr:cNvPicPr preferRelativeResize="1">
          <a:picLocks noChangeAspect="1"/>
        </xdr:cNvPicPr>
      </xdr:nvPicPr>
      <xdr:blipFill>
        <a:blip r:embed="rId2"/>
        <a:stretch>
          <a:fillRect/>
        </a:stretch>
      </xdr:blipFill>
      <xdr:spPr>
        <a:xfrm>
          <a:off x="0" y="161925"/>
          <a:ext cx="1181100" cy="390525"/>
        </a:xfrm>
        <a:prstGeom prst="rect">
          <a:avLst/>
        </a:prstGeom>
        <a:noFill/>
        <a:ln w="9525" cmpd="sng">
          <a:noFill/>
        </a:ln>
      </xdr:spPr>
    </xdr:pic>
    <xdr:clientData/>
  </xdr:twoCellAnchor>
  <xdr:twoCellAnchor editAs="oneCell">
    <xdr:from>
      <xdr:col>13</xdr:col>
      <xdr:colOff>495300</xdr:colOff>
      <xdr:row>2</xdr:row>
      <xdr:rowOff>19050</xdr:rowOff>
    </xdr:from>
    <xdr:to>
      <xdr:col>16</xdr:col>
      <xdr:colOff>390525</xdr:colOff>
      <xdr:row>14</xdr:row>
      <xdr:rowOff>0</xdr:rowOff>
    </xdr:to>
    <xdr:pic>
      <xdr:nvPicPr>
        <xdr:cNvPr id="11" name="Obrázok 52" descr="Heimeier 4360.JPG"/>
        <xdr:cNvPicPr preferRelativeResize="1">
          <a:picLocks noChangeAspect="1"/>
        </xdr:cNvPicPr>
      </xdr:nvPicPr>
      <xdr:blipFill>
        <a:blip r:embed="rId3"/>
        <a:stretch>
          <a:fillRect/>
        </a:stretch>
      </xdr:blipFill>
      <xdr:spPr>
        <a:xfrm>
          <a:off x="7820025" y="704850"/>
          <a:ext cx="1609725" cy="2381250"/>
        </a:xfrm>
        <a:prstGeom prst="rect">
          <a:avLst/>
        </a:prstGeom>
        <a:noFill/>
        <a:ln w="9525" cmpd="sng">
          <a:noFill/>
        </a:ln>
      </xdr:spPr>
    </xdr:pic>
    <xdr:clientData/>
  </xdr:twoCellAnchor>
  <xdr:twoCellAnchor>
    <xdr:from>
      <xdr:col>0</xdr:col>
      <xdr:colOff>9525</xdr:colOff>
      <xdr:row>13</xdr:row>
      <xdr:rowOff>133350</xdr:rowOff>
    </xdr:from>
    <xdr:to>
      <xdr:col>16</xdr:col>
      <xdr:colOff>276225</xdr:colOff>
      <xdr:row>47</xdr:row>
      <xdr:rowOff>57150</xdr:rowOff>
    </xdr:to>
    <xdr:sp>
      <xdr:nvSpPr>
        <xdr:cNvPr id="12" name="Obdĺžnik 54"/>
        <xdr:cNvSpPr>
          <a:spLocks/>
        </xdr:cNvSpPr>
      </xdr:nvSpPr>
      <xdr:spPr>
        <a:xfrm>
          <a:off x="9525" y="3057525"/>
          <a:ext cx="9305925" cy="54292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47</xdr:row>
      <xdr:rowOff>142875</xdr:rowOff>
    </xdr:from>
    <xdr:to>
      <xdr:col>0</xdr:col>
      <xdr:colOff>790575</xdr:colOff>
      <xdr:row>49</xdr:row>
      <xdr:rowOff>114300</xdr:rowOff>
    </xdr:to>
    <xdr:pic>
      <xdr:nvPicPr>
        <xdr:cNvPr id="13" name="CommandButton1"/>
        <xdr:cNvPicPr preferRelativeResize="1">
          <a:picLocks noChangeAspect="1"/>
        </xdr:cNvPicPr>
      </xdr:nvPicPr>
      <xdr:blipFill>
        <a:blip r:embed="rId4"/>
        <a:stretch>
          <a:fillRect/>
        </a:stretch>
      </xdr:blipFill>
      <xdr:spPr>
        <a:xfrm>
          <a:off x="28575" y="8572500"/>
          <a:ext cx="762000" cy="2952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oleObject" Target="../embeddings/oleObject_12_0.bin" /><Relationship Id="rId3" Type="http://schemas.openxmlformats.org/officeDocument/2006/relationships/vmlDrawing" Target="../drawings/vmlDrawing10.v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2"/>
  <dimension ref="A1:E108"/>
  <sheetViews>
    <sheetView zoomScalePageLayoutView="0" workbookViewId="0" topLeftCell="A19">
      <selection activeCell="B44" sqref="B44"/>
    </sheetView>
  </sheetViews>
  <sheetFormatPr defaultColWidth="9.140625" defaultRowHeight="12.75"/>
  <cols>
    <col min="2" max="2" width="65.28125" style="0" customWidth="1"/>
    <col min="3" max="3" width="64.28125" style="0" customWidth="1"/>
    <col min="4" max="4" width="81.140625" style="0" customWidth="1"/>
  </cols>
  <sheetData>
    <row r="1" spans="1:5" ht="12.75">
      <c r="A1">
        <v>1</v>
      </c>
      <c r="B1" s="52" t="s">
        <v>165</v>
      </c>
      <c r="C1" s="52" t="s">
        <v>166</v>
      </c>
      <c r="D1" s="52" t="s">
        <v>167</v>
      </c>
      <c r="E1" s="52" t="s">
        <v>389</v>
      </c>
    </row>
    <row r="2" ht="12.75">
      <c r="E2" s="109" t="s">
        <v>390</v>
      </c>
    </row>
    <row r="3" spans="1:5" ht="12.75">
      <c r="A3">
        <v>1</v>
      </c>
      <c r="B3" t="s">
        <v>116</v>
      </c>
      <c r="C3" t="s">
        <v>170</v>
      </c>
      <c r="D3" t="s">
        <v>267</v>
      </c>
      <c r="E3" s="109" t="s">
        <v>391</v>
      </c>
    </row>
    <row r="4" spans="1:4" ht="12.75">
      <c r="A4">
        <v>2</v>
      </c>
      <c r="B4" t="s">
        <v>90</v>
      </c>
      <c r="C4" t="s">
        <v>171</v>
      </c>
      <c r="D4" t="s">
        <v>260</v>
      </c>
    </row>
    <row r="5" spans="1:4" ht="12.75">
      <c r="A5">
        <v>3</v>
      </c>
      <c r="B5" t="s">
        <v>168</v>
      </c>
      <c r="C5" t="s">
        <v>172</v>
      </c>
      <c r="D5" t="s">
        <v>261</v>
      </c>
    </row>
    <row r="6" spans="1:4" ht="12.75">
      <c r="A6">
        <v>4</v>
      </c>
      <c r="B6" t="s">
        <v>137</v>
      </c>
      <c r="C6" t="s">
        <v>173</v>
      </c>
      <c r="D6" t="s">
        <v>262</v>
      </c>
    </row>
    <row r="7" spans="1:4" ht="12.75">
      <c r="A7">
        <v>5</v>
      </c>
      <c r="B7" t="s">
        <v>169</v>
      </c>
      <c r="C7" t="s">
        <v>174</v>
      </c>
      <c r="D7" t="s">
        <v>263</v>
      </c>
    </row>
    <row r="8" spans="1:4" ht="12.75">
      <c r="A8">
        <v>6</v>
      </c>
      <c r="B8" t="s">
        <v>379</v>
      </c>
      <c r="C8" t="s">
        <v>380</v>
      </c>
      <c r="D8" s="112" t="s">
        <v>381</v>
      </c>
    </row>
    <row r="9" spans="1:4" ht="12.75">
      <c r="A9">
        <v>7</v>
      </c>
      <c r="B9" t="s">
        <v>117</v>
      </c>
      <c r="C9" t="s">
        <v>194</v>
      </c>
      <c r="D9" t="s">
        <v>264</v>
      </c>
    </row>
    <row r="10" spans="1:4" ht="12.75">
      <c r="A10">
        <v>8</v>
      </c>
      <c r="B10" t="s">
        <v>118</v>
      </c>
      <c r="C10" t="s">
        <v>193</v>
      </c>
      <c r="D10" t="s">
        <v>265</v>
      </c>
    </row>
    <row r="11" spans="1:4" ht="12.75">
      <c r="A11">
        <v>9</v>
      </c>
      <c r="B11" t="s">
        <v>120</v>
      </c>
      <c r="C11" t="s">
        <v>192</v>
      </c>
      <c r="D11" t="s">
        <v>266</v>
      </c>
    </row>
    <row r="12" spans="1:4" ht="12.75">
      <c r="A12">
        <v>10</v>
      </c>
      <c r="B12" t="s">
        <v>121</v>
      </c>
      <c r="C12" t="s">
        <v>191</v>
      </c>
      <c r="D12" t="s">
        <v>268</v>
      </c>
    </row>
    <row r="13" spans="1:4" ht="12.75">
      <c r="A13">
        <v>11</v>
      </c>
      <c r="B13" t="s">
        <v>140</v>
      </c>
      <c r="C13" t="s">
        <v>190</v>
      </c>
      <c r="D13" t="s">
        <v>269</v>
      </c>
    </row>
    <row r="14" spans="1:4" ht="12.75">
      <c r="A14">
        <v>12</v>
      </c>
      <c r="B14" t="s">
        <v>123</v>
      </c>
      <c r="C14" t="s">
        <v>175</v>
      </c>
      <c r="D14" t="s">
        <v>270</v>
      </c>
    </row>
    <row r="15" spans="1:4" ht="12.75">
      <c r="A15">
        <v>13</v>
      </c>
      <c r="B15" t="s">
        <v>124</v>
      </c>
      <c r="C15" t="s">
        <v>176</v>
      </c>
      <c r="D15" t="s">
        <v>271</v>
      </c>
    </row>
    <row r="16" spans="1:4" ht="12.75">
      <c r="A16">
        <v>14</v>
      </c>
      <c r="B16" t="s">
        <v>125</v>
      </c>
      <c r="C16" t="s">
        <v>177</v>
      </c>
      <c r="D16" t="s">
        <v>272</v>
      </c>
    </row>
    <row r="17" spans="1:4" ht="12.75">
      <c r="A17">
        <v>15</v>
      </c>
      <c r="B17" t="s">
        <v>138</v>
      </c>
      <c r="C17" t="s">
        <v>178</v>
      </c>
      <c r="D17" t="s">
        <v>273</v>
      </c>
    </row>
    <row r="18" spans="1:4" ht="12.75">
      <c r="A18">
        <v>16</v>
      </c>
      <c r="B18" t="s">
        <v>126</v>
      </c>
      <c r="C18" t="s">
        <v>179</v>
      </c>
      <c r="D18" t="s">
        <v>274</v>
      </c>
    </row>
    <row r="19" spans="1:4" ht="12.75">
      <c r="A19">
        <v>17</v>
      </c>
      <c r="B19" t="s">
        <v>127</v>
      </c>
      <c r="C19" t="s">
        <v>180</v>
      </c>
      <c r="D19" t="s">
        <v>275</v>
      </c>
    </row>
    <row r="20" spans="1:4" ht="12.75">
      <c r="A20">
        <v>18</v>
      </c>
      <c r="B20" t="s">
        <v>128</v>
      </c>
      <c r="C20" t="s">
        <v>181</v>
      </c>
      <c r="D20" t="s">
        <v>276</v>
      </c>
    </row>
    <row r="21" spans="1:4" ht="12.75">
      <c r="A21">
        <v>19</v>
      </c>
      <c r="B21" t="s">
        <v>139</v>
      </c>
      <c r="C21" t="s">
        <v>182</v>
      </c>
      <c r="D21" t="s">
        <v>277</v>
      </c>
    </row>
    <row r="22" spans="1:4" ht="12.75">
      <c r="A22">
        <v>20</v>
      </c>
      <c r="B22" t="s">
        <v>129</v>
      </c>
      <c r="C22" t="s">
        <v>183</v>
      </c>
      <c r="D22" t="s">
        <v>278</v>
      </c>
    </row>
    <row r="23" spans="1:4" ht="12.75">
      <c r="A23">
        <v>21</v>
      </c>
      <c r="B23" t="s">
        <v>130</v>
      </c>
      <c r="C23" t="s">
        <v>184</v>
      </c>
      <c r="D23" t="s">
        <v>279</v>
      </c>
    </row>
    <row r="24" spans="1:4" ht="12.75">
      <c r="A24">
        <v>22</v>
      </c>
      <c r="B24" t="s">
        <v>131</v>
      </c>
      <c r="C24" t="s">
        <v>185</v>
      </c>
      <c r="D24" t="s">
        <v>280</v>
      </c>
    </row>
    <row r="25" spans="1:4" ht="12.75">
      <c r="A25">
        <v>23</v>
      </c>
      <c r="B25" t="s">
        <v>132</v>
      </c>
      <c r="C25" t="s">
        <v>186</v>
      </c>
      <c r="D25" t="s">
        <v>282</v>
      </c>
    </row>
    <row r="26" spans="1:4" ht="12.75">
      <c r="A26">
        <v>24</v>
      </c>
      <c r="B26" t="s">
        <v>133</v>
      </c>
      <c r="C26" t="s">
        <v>187</v>
      </c>
      <c r="D26" t="s">
        <v>281</v>
      </c>
    </row>
    <row r="27" spans="1:4" ht="12.75">
      <c r="A27">
        <v>25</v>
      </c>
      <c r="B27" t="s">
        <v>134</v>
      </c>
      <c r="C27" t="s">
        <v>188</v>
      </c>
      <c r="D27" t="s">
        <v>283</v>
      </c>
    </row>
    <row r="28" spans="1:4" ht="12.75">
      <c r="A28">
        <v>26</v>
      </c>
      <c r="B28" t="s">
        <v>135</v>
      </c>
      <c r="C28" t="s">
        <v>189</v>
      </c>
      <c r="D28" t="s">
        <v>284</v>
      </c>
    </row>
    <row r="29" ht="12.75">
      <c r="A29">
        <v>27</v>
      </c>
    </row>
    <row r="30" spans="1:4" ht="12.75">
      <c r="A30">
        <v>28</v>
      </c>
      <c r="B30" t="s">
        <v>97</v>
      </c>
      <c r="C30" t="s">
        <v>203</v>
      </c>
      <c r="D30" t="s">
        <v>285</v>
      </c>
    </row>
    <row r="31" spans="1:4" ht="12.75">
      <c r="A31">
        <v>29</v>
      </c>
      <c r="B31" t="s">
        <v>351</v>
      </c>
      <c r="C31" t="s">
        <v>337</v>
      </c>
      <c r="D31" t="s">
        <v>353</v>
      </c>
    </row>
    <row r="32" spans="1:4" ht="12.75">
      <c r="A32">
        <v>30</v>
      </c>
      <c r="B32" t="s">
        <v>352</v>
      </c>
      <c r="C32" t="s">
        <v>338</v>
      </c>
      <c r="D32" t="s">
        <v>354</v>
      </c>
    </row>
    <row r="33" spans="1:4" ht="12.75">
      <c r="A33">
        <v>31</v>
      </c>
      <c r="B33" t="s">
        <v>195</v>
      </c>
      <c r="C33" t="s">
        <v>204</v>
      </c>
      <c r="D33" t="s">
        <v>346</v>
      </c>
    </row>
    <row r="34" spans="1:4" ht="12.75">
      <c r="A34">
        <v>32</v>
      </c>
      <c r="B34" t="s">
        <v>340</v>
      </c>
      <c r="C34" t="s">
        <v>339</v>
      </c>
      <c r="D34" t="s">
        <v>355</v>
      </c>
    </row>
    <row r="35" spans="1:4" ht="12.75">
      <c r="A35">
        <v>33</v>
      </c>
      <c r="B35" t="s">
        <v>101</v>
      </c>
      <c r="C35" t="s">
        <v>205</v>
      </c>
      <c r="D35" t="s">
        <v>286</v>
      </c>
    </row>
    <row r="36" spans="1:4" ht="15.75">
      <c r="A36">
        <v>34</v>
      </c>
      <c r="B36" t="s">
        <v>196</v>
      </c>
      <c r="C36" t="s">
        <v>206</v>
      </c>
      <c r="D36" t="s">
        <v>287</v>
      </c>
    </row>
    <row r="37" spans="1:4" ht="15.75">
      <c r="A37">
        <v>35</v>
      </c>
      <c r="B37" t="s">
        <v>197</v>
      </c>
      <c r="C37" t="s">
        <v>207</v>
      </c>
      <c r="D37" t="s">
        <v>288</v>
      </c>
    </row>
    <row r="38" spans="1:4" ht="15.75">
      <c r="A38">
        <v>36</v>
      </c>
      <c r="B38" t="s">
        <v>198</v>
      </c>
      <c r="C38" t="s">
        <v>208</v>
      </c>
      <c r="D38" t="s">
        <v>344</v>
      </c>
    </row>
    <row r="39" spans="1:4" ht="15.75">
      <c r="A39">
        <v>37</v>
      </c>
      <c r="B39" t="s">
        <v>199</v>
      </c>
      <c r="C39" t="s">
        <v>209</v>
      </c>
      <c r="D39" t="s">
        <v>289</v>
      </c>
    </row>
    <row r="40" spans="1:4" ht="15.75">
      <c r="A40">
        <v>38</v>
      </c>
      <c r="B40" t="s">
        <v>200</v>
      </c>
      <c r="C40" t="s">
        <v>210</v>
      </c>
      <c r="D40" t="s">
        <v>345</v>
      </c>
    </row>
    <row r="41" spans="1:4" ht="12.75">
      <c r="A41">
        <v>39</v>
      </c>
      <c r="B41" t="s">
        <v>22</v>
      </c>
      <c r="C41" t="s">
        <v>211</v>
      </c>
      <c r="D41" t="s">
        <v>290</v>
      </c>
    </row>
    <row r="42" spans="1:4" ht="12.75">
      <c r="A42">
        <v>40</v>
      </c>
      <c r="B42" t="s">
        <v>104</v>
      </c>
      <c r="C42" t="s">
        <v>212</v>
      </c>
      <c r="D42" t="s">
        <v>291</v>
      </c>
    </row>
    <row r="43" spans="1:4" ht="12.75">
      <c r="A43">
        <v>41</v>
      </c>
      <c r="B43" t="s">
        <v>98</v>
      </c>
      <c r="C43" t="s">
        <v>213</v>
      </c>
      <c r="D43" t="s">
        <v>292</v>
      </c>
    </row>
    <row r="44" spans="1:4" ht="15.75">
      <c r="A44">
        <v>42</v>
      </c>
      <c r="B44" t="s">
        <v>349</v>
      </c>
      <c r="C44" t="s">
        <v>341</v>
      </c>
      <c r="D44" t="s">
        <v>293</v>
      </c>
    </row>
    <row r="45" spans="1:4" ht="12.75">
      <c r="A45">
        <v>43</v>
      </c>
      <c r="B45" t="s">
        <v>350</v>
      </c>
      <c r="C45" t="s">
        <v>342</v>
      </c>
      <c r="D45" t="s">
        <v>294</v>
      </c>
    </row>
    <row r="46" spans="1:4" ht="12.75">
      <c r="A46">
        <v>44</v>
      </c>
      <c r="B46" t="s">
        <v>201</v>
      </c>
      <c r="C46" t="s">
        <v>214</v>
      </c>
      <c r="D46" t="s">
        <v>295</v>
      </c>
    </row>
    <row r="47" spans="1:4" ht="12.75">
      <c r="A47">
        <v>45</v>
      </c>
      <c r="B47" t="s">
        <v>202</v>
      </c>
      <c r="C47" t="s">
        <v>215</v>
      </c>
      <c r="D47" t="s">
        <v>296</v>
      </c>
    </row>
    <row r="48" spans="1:4" ht="12.75">
      <c r="A48">
        <v>46</v>
      </c>
      <c r="B48" t="s">
        <v>102</v>
      </c>
      <c r="C48" t="s">
        <v>216</v>
      </c>
      <c r="D48" t="s">
        <v>297</v>
      </c>
    </row>
    <row r="49" spans="1:4" ht="12.75">
      <c r="A49">
        <v>47</v>
      </c>
      <c r="B49" t="s">
        <v>145</v>
      </c>
      <c r="C49" t="s">
        <v>145</v>
      </c>
      <c r="D49" t="s">
        <v>298</v>
      </c>
    </row>
    <row r="50" spans="1:4" ht="12.75">
      <c r="A50">
        <v>48</v>
      </c>
      <c r="B50" t="s">
        <v>0</v>
      </c>
      <c r="C50" t="s">
        <v>217</v>
      </c>
      <c r="D50" t="s">
        <v>299</v>
      </c>
    </row>
    <row r="51" spans="1:4" ht="12.75">
      <c r="A51">
        <v>49</v>
      </c>
      <c r="B51" t="s">
        <v>74</v>
      </c>
      <c r="C51" t="s">
        <v>218</v>
      </c>
      <c r="D51" t="s">
        <v>300</v>
      </c>
    </row>
    <row r="52" spans="1:4" ht="12.75">
      <c r="A52">
        <v>50</v>
      </c>
      <c r="B52" t="s">
        <v>29</v>
      </c>
      <c r="C52" t="s">
        <v>219</v>
      </c>
      <c r="D52" t="s">
        <v>301</v>
      </c>
    </row>
    <row r="53" spans="1:4" ht="12.75">
      <c r="A53">
        <v>51</v>
      </c>
      <c r="B53" t="s">
        <v>103</v>
      </c>
      <c r="C53" t="s">
        <v>220</v>
      </c>
      <c r="D53" t="s">
        <v>302</v>
      </c>
    </row>
    <row r="54" spans="1:4" ht="12.75">
      <c r="A54">
        <v>52</v>
      </c>
      <c r="B54" t="s">
        <v>458</v>
      </c>
      <c r="C54" t="s">
        <v>343</v>
      </c>
      <c r="D54" s="109" t="s">
        <v>331</v>
      </c>
    </row>
    <row r="55" ht="12.75">
      <c r="A55">
        <v>53</v>
      </c>
    </row>
    <row r="56" spans="1:4" ht="12.75">
      <c r="A56">
        <v>54</v>
      </c>
      <c r="B56" t="s">
        <v>109</v>
      </c>
      <c r="C56" t="s">
        <v>228</v>
      </c>
      <c r="D56" t="s">
        <v>303</v>
      </c>
    </row>
    <row r="57" spans="1:4" ht="12.75">
      <c r="A57">
        <v>55</v>
      </c>
      <c r="B57" t="s">
        <v>58</v>
      </c>
      <c r="C57" t="s">
        <v>229</v>
      </c>
      <c r="D57" t="s">
        <v>304</v>
      </c>
    </row>
    <row r="58" spans="1:4" ht="12.75">
      <c r="A58">
        <v>56</v>
      </c>
      <c r="B58" t="s">
        <v>59</v>
      </c>
      <c r="C58" t="s">
        <v>239</v>
      </c>
      <c r="D58" t="s">
        <v>305</v>
      </c>
    </row>
    <row r="59" spans="1:4" ht="12.75">
      <c r="A59">
        <v>57</v>
      </c>
      <c r="B59" t="s">
        <v>60</v>
      </c>
      <c r="C59" t="s">
        <v>240</v>
      </c>
      <c r="D59" t="s">
        <v>306</v>
      </c>
    </row>
    <row r="60" spans="1:4" ht="12.75">
      <c r="A60">
        <v>58</v>
      </c>
      <c r="B60" t="s">
        <v>221</v>
      </c>
      <c r="C60" t="s">
        <v>241</v>
      </c>
      <c r="D60" t="s">
        <v>307</v>
      </c>
    </row>
    <row r="61" spans="1:4" ht="12.75">
      <c r="A61">
        <v>59</v>
      </c>
      <c r="B61" t="s">
        <v>54</v>
      </c>
      <c r="C61" t="s">
        <v>242</v>
      </c>
      <c r="D61" t="s">
        <v>309</v>
      </c>
    </row>
    <row r="62" spans="1:4" ht="12.75">
      <c r="A62">
        <v>60</v>
      </c>
      <c r="B62" t="s">
        <v>55</v>
      </c>
      <c r="C62" t="s">
        <v>243</v>
      </c>
      <c r="D62" t="s">
        <v>308</v>
      </c>
    </row>
    <row r="63" spans="1:4" ht="12.75">
      <c r="A63">
        <v>61</v>
      </c>
      <c r="B63" t="s">
        <v>53</v>
      </c>
      <c r="C63" t="s">
        <v>244</v>
      </c>
      <c r="D63" t="s">
        <v>310</v>
      </c>
    </row>
    <row r="64" spans="1:4" ht="12.75">
      <c r="A64">
        <v>62</v>
      </c>
      <c r="B64" t="s">
        <v>222</v>
      </c>
      <c r="C64" t="s">
        <v>245</v>
      </c>
      <c r="D64" s="109" t="s">
        <v>382</v>
      </c>
    </row>
    <row r="65" spans="1:4" ht="12.75">
      <c r="A65">
        <v>63</v>
      </c>
      <c r="B65" t="s">
        <v>223</v>
      </c>
      <c r="C65" t="s">
        <v>246</v>
      </c>
      <c r="D65" t="s">
        <v>311</v>
      </c>
    </row>
    <row r="66" spans="1:4" ht="12.75">
      <c r="A66">
        <v>64</v>
      </c>
      <c r="B66" t="s">
        <v>224</v>
      </c>
      <c r="C66" t="s">
        <v>247</v>
      </c>
      <c r="D66" t="s">
        <v>312</v>
      </c>
    </row>
    <row r="67" spans="1:4" ht="12.75">
      <c r="A67">
        <v>65</v>
      </c>
      <c r="B67" t="s">
        <v>110</v>
      </c>
      <c r="C67" t="s">
        <v>248</v>
      </c>
      <c r="D67" t="s">
        <v>313</v>
      </c>
    </row>
    <row r="68" spans="1:4" ht="12.75">
      <c r="A68">
        <v>66</v>
      </c>
      <c r="B68" t="s">
        <v>348</v>
      </c>
      <c r="C68" s="108" t="s">
        <v>238</v>
      </c>
      <c r="D68" s="109" t="s">
        <v>347</v>
      </c>
    </row>
    <row r="69" spans="1:4" ht="12.75">
      <c r="A69">
        <v>67</v>
      </c>
      <c r="B69" s="61" t="s">
        <v>31</v>
      </c>
      <c r="C69" s="61" t="s">
        <v>230</v>
      </c>
      <c r="D69" t="s">
        <v>314</v>
      </c>
    </row>
    <row r="70" spans="1:4" ht="12.75">
      <c r="A70">
        <v>68</v>
      </c>
      <c r="B70" s="61" t="s">
        <v>34</v>
      </c>
      <c r="C70" s="61" t="s">
        <v>231</v>
      </c>
      <c r="D70" t="s">
        <v>315</v>
      </c>
    </row>
    <row r="71" spans="1:4" ht="12.75">
      <c r="A71">
        <v>69</v>
      </c>
      <c r="B71" s="61" t="s">
        <v>37</v>
      </c>
      <c r="C71" s="61" t="s">
        <v>232</v>
      </c>
      <c r="D71" t="s">
        <v>316</v>
      </c>
    </row>
    <row r="72" spans="1:4" ht="12.75">
      <c r="A72">
        <v>70</v>
      </c>
      <c r="B72" s="61" t="s">
        <v>39</v>
      </c>
      <c r="C72" s="61" t="s">
        <v>233</v>
      </c>
      <c r="D72" t="s">
        <v>317</v>
      </c>
    </row>
    <row r="73" spans="1:4" ht="12.75">
      <c r="A73">
        <v>71</v>
      </c>
      <c r="B73" s="61" t="s">
        <v>42</v>
      </c>
      <c r="C73" s="61" t="s">
        <v>234</v>
      </c>
      <c r="D73" t="s">
        <v>318</v>
      </c>
    </row>
    <row r="74" spans="1:4" ht="12.75">
      <c r="A74">
        <v>72</v>
      </c>
      <c r="B74" s="31" t="s">
        <v>71</v>
      </c>
      <c r="C74" s="31" t="s">
        <v>235</v>
      </c>
      <c r="D74" t="s">
        <v>319</v>
      </c>
    </row>
    <row r="75" spans="1:4" ht="12.75">
      <c r="A75">
        <v>73</v>
      </c>
      <c r="B75" s="31" t="s">
        <v>72</v>
      </c>
      <c r="C75" s="31" t="s">
        <v>236</v>
      </c>
      <c r="D75" t="s">
        <v>320</v>
      </c>
    </row>
    <row r="76" spans="1:4" ht="12.75">
      <c r="A76">
        <v>74</v>
      </c>
      <c r="B76" s="31" t="s">
        <v>94</v>
      </c>
      <c r="C76" s="31" t="s">
        <v>237</v>
      </c>
      <c r="D76" t="s">
        <v>321</v>
      </c>
    </row>
    <row r="77" spans="1:3" ht="12.75">
      <c r="A77">
        <v>75</v>
      </c>
      <c r="B77" s="31"/>
      <c r="C77" s="31"/>
    </row>
    <row r="78" spans="1:4" ht="12.75">
      <c r="A78">
        <v>76</v>
      </c>
      <c r="B78" t="s">
        <v>225</v>
      </c>
      <c r="C78" t="s">
        <v>249</v>
      </c>
      <c r="D78" t="s">
        <v>322</v>
      </c>
    </row>
    <row r="79" spans="1:4" ht="12.75">
      <c r="A79">
        <v>77</v>
      </c>
      <c r="B79" t="s">
        <v>136</v>
      </c>
      <c r="C79" t="s">
        <v>250</v>
      </c>
      <c r="D79" t="s">
        <v>356</v>
      </c>
    </row>
    <row r="80" ht="12.75">
      <c r="A80">
        <v>78</v>
      </c>
    </row>
    <row r="81" spans="1:4" ht="12.75">
      <c r="A81">
        <v>79</v>
      </c>
      <c r="B81" t="s">
        <v>91</v>
      </c>
      <c r="C81" t="s">
        <v>251</v>
      </c>
      <c r="D81" t="s">
        <v>323</v>
      </c>
    </row>
    <row r="82" spans="1:4" ht="12.75">
      <c r="A82">
        <v>80</v>
      </c>
      <c r="B82" t="s">
        <v>92</v>
      </c>
      <c r="C82" t="s">
        <v>252</v>
      </c>
      <c r="D82" t="s">
        <v>324</v>
      </c>
    </row>
    <row r="83" spans="1:4" ht="12.75">
      <c r="A83">
        <v>81</v>
      </c>
      <c r="B83" t="s">
        <v>142</v>
      </c>
      <c r="C83" t="s">
        <v>253</v>
      </c>
      <c r="D83" t="s">
        <v>325</v>
      </c>
    </row>
    <row r="84" spans="1:4" ht="12.75">
      <c r="A84">
        <v>82</v>
      </c>
      <c r="B84" t="s">
        <v>88</v>
      </c>
      <c r="C84" t="s">
        <v>254</v>
      </c>
      <c r="D84" t="s">
        <v>326</v>
      </c>
    </row>
    <row r="85" spans="1:4" ht="12.75">
      <c r="A85">
        <v>83</v>
      </c>
      <c r="B85" t="s">
        <v>86</v>
      </c>
      <c r="C85" t="s">
        <v>255</v>
      </c>
      <c r="D85" t="s">
        <v>327</v>
      </c>
    </row>
    <row r="86" spans="1:4" ht="12.75">
      <c r="A86">
        <v>84</v>
      </c>
      <c r="B86" t="s">
        <v>87</v>
      </c>
      <c r="C86" t="s">
        <v>256</v>
      </c>
      <c r="D86" t="s">
        <v>328</v>
      </c>
    </row>
    <row r="87" spans="1:4" ht="12.75">
      <c r="A87">
        <v>85</v>
      </c>
      <c r="B87" t="s">
        <v>93</v>
      </c>
      <c r="C87" t="s">
        <v>257</v>
      </c>
      <c r="D87" t="s">
        <v>329</v>
      </c>
    </row>
    <row r="88" spans="1:4" ht="12.75">
      <c r="A88">
        <v>86</v>
      </c>
      <c r="B88" s="108" t="s">
        <v>226</v>
      </c>
      <c r="C88" s="108" t="s">
        <v>258</v>
      </c>
      <c r="D88" t="s">
        <v>332</v>
      </c>
    </row>
    <row r="89" spans="1:4" ht="12.75">
      <c r="A89">
        <v>87</v>
      </c>
      <c r="B89" t="s">
        <v>369</v>
      </c>
      <c r="C89" t="s">
        <v>372</v>
      </c>
      <c r="D89" t="s">
        <v>374</v>
      </c>
    </row>
    <row r="90" spans="1:4" ht="12.75">
      <c r="A90">
        <v>88</v>
      </c>
      <c r="B90" t="s">
        <v>370</v>
      </c>
      <c r="C90" t="s">
        <v>371</v>
      </c>
      <c r="D90" t="s">
        <v>373</v>
      </c>
    </row>
    <row r="91" spans="1:4" ht="12.75">
      <c r="A91">
        <v>89</v>
      </c>
      <c r="B91" t="s">
        <v>227</v>
      </c>
      <c r="C91" t="s">
        <v>259</v>
      </c>
      <c r="D91" t="s">
        <v>330</v>
      </c>
    </row>
    <row r="92" spans="1:4" ht="12.75">
      <c r="A92">
        <v>90</v>
      </c>
      <c r="B92" t="s">
        <v>89</v>
      </c>
      <c r="C92" t="s">
        <v>358</v>
      </c>
      <c r="D92" t="s">
        <v>359</v>
      </c>
    </row>
    <row r="93" spans="1:4" ht="12.75">
      <c r="A93">
        <v>91</v>
      </c>
      <c r="B93" t="s">
        <v>360</v>
      </c>
      <c r="C93" t="s">
        <v>363</v>
      </c>
      <c r="D93" t="s">
        <v>366</v>
      </c>
    </row>
    <row r="94" spans="1:4" ht="12.75">
      <c r="A94">
        <v>92</v>
      </c>
      <c r="B94" t="s">
        <v>361</v>
      </c>
      <c r="C94" t="s">
        <v>364</v>
      </c>
      <c r="D94" t="s">
        <v>367</v>
      </c>
    </row>
    <row r="95" spans="1:4" ht="12.75">
      <c r="A95">
        <v>93</v>
      </c>
      <c r="B95" t="s">
        <v>362</v>
      </c>
      <c r="C95" t="s">
        <v>365</v>
      </c>
      <c r="D95" t="s">
        <v>368</v>
      </c>
    </row>
    <row r="96" spans="1:4" ht="12.75">
      <c r="A96">
        <v>94</v>
      </c>
      <c r="B96" t="s">
        <v>375</v>
      </c>
      <c r="C96" t="s">
        <v>375</v>
      </c>
      <c r="D96" t="s">
        <v>377</v>
      </c>
    </row>
    <row r="97" spans="1:4" ht="12.75">
      <c r="A97">
        <v>95</v>
      </c>
      <c r="B97" t="s">
        <v>376</v>
      </c>
      <c r="C97" t="s">
        <v>376</v>
      </c>
      <c r="D97" t="s">
        <v>378</v>
      </c>
    </row>
    <row r="98" spans="1:4" ht="12.75">
      <c r="A98">
        <v>96</v>
      </c>
      <c r="B98" t="s">
        <v>383</v>
      </c>
      <c r="C98" t="s">
        <v>384</v>
      </c>
      <c r="D98" t="s">
        <v>387</v>
      </c>
    </row>
    <row r="99" spans="1:4" ht="12.75">
      <c r="A99">
        <v>97</v>
      </c>
      <c r="B99" t="s">
        <v>385</v>
      </c>
      <c r="C99" t="s">
        <v>386</v>
      </c>
      <c r="D99" t="s">
        <v>388</v>
      </c>
    </row>
    <row r="100" spans="1:4" ht="12.75">
      <c r="A100">
        <v>98</v>
      </c>
      <c r="B100" t="s">
        <v>392</v>
      </c>
      <c r="C100" t="s">
        <v>393</v>
      </c>
      <c r="D100" t="s">
        <v>388</v>
      </c>
    </row>
    <row r="101" spans="1:4" ht="12.75">
      <c r="A101">
        <v>99</v>
      </c>
      <c r="B101" s="101" t="s">
        <v>457</v>
      </c>
      <c r="C101" s="101" t="s">
        <v>448</v>
      </c>
      <c r="D101" s="101" t="s">
        <v>456</v>
      </c>
    </row>
    <row r="102" spans="1:4" ht="12.75">
      <c r="A102">
        <v>100</v>
      </c>
      <c r="B102" s="101" t="s">
        <v>437</v>
      </c>
      <c r="C102" s="101" t="s">
        <v>447</v>
      </c>
      <c r="D102" s="101" t="s">
        <v>449</v>
      </c>
    </row>
    <row r="103" spans="1:4" ht="12.75">
      <c r="A103">
        <v>101</v>
      </c>
      <c r="B103" s="101" t="s">
        <v>98</v>
      </c>
      <c r="C103" t="s">
        <v>213</v>
      </c>
      <c r="D103" t="s">
        <v>292</v>
      </c>
    </row>
    <row r="104" spans="1:4" ht="12.75">
      <c r="A104">
        <v>102</v>
      </c>
      <c r="B104" s="101" t="s">
        <v>396</v>
      </c>
      <c r="C104" s="101" t="s">
        <v>446</v>
      </c>
      <c r="D104" s="101" t="s">
        <v>453</v>
      </c>
    </row>
    <row r="105" spans="1:4" ht="12.75">
      <c r="A105">
        <v>103</v>
      </c>
      <c r="B105" s="101" t="s">
        <v>442</v>
      </c>
      <c r="C105" s="101" t="s">
        <v>444</v>
      </c>
      <c r="D105" s="101" t="s">
        <v>445</v>
      </c>
    </row>
    <row r="106" spans="1:4" ht="12.75">
      <c r="A106">
        <v>104</v>
      </c>
      <c r="B106" s="101" t="s">
        <v>403</v>
      </c>
      <c r="C106" s="101" t="s">
        <v>441</v>
      </c>
      <c r="D106" s="101" t="s">
        <v>450</v>
      </c>
    </row>
    <row r="107" spans="1:4" ht="12.75">
      <c r="A107">
        <v>105</v>
      </c>
      <c r="B107" s="101" t="s">
        <v>406</v>
      </c>
      <c r="C107" s="101" t="s">
        <v>440</v>
      </c>
      <c r="D107" s="101" t="s">
        <v>451</v>
      </c>
    </row>
    <row r="108" spans="1:4" ht="12.75">
      <c r="A108">
        <v>106</v>
      </c>
      <c r="B108" s="101" t="s">
        <v>394</v>
      </c>
      <c r="C108" s="101" t="s">
        <v>439</v>
      </c>
      <c r="D108" s="101" t="s">
        <v>452</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10"/>
  <dimension ref="A1:S54"/>
  <sheetViews>
    <sheetView zoomScalePageLayoutView="0" workbookViewId="0" topLeftCell="A1">
      <selection activeCell="N47" sqref="N47"/>
    </sheetView>
  </sheetViews>
  <sheetFormatPr defaultColWidth="9.140625" defaultRowHeight="12.75"/>
  <cols>
    <col min="1" max="2" width="10.7109375" style="0" customWidth="1"/>
    <col min="3" max="4" width="9.28125" style="0" customWidth="1"/>
    <col min="5" max="5" width="9.8515625" style="0" customWidth="1"/>
    <col min="8" max="8" width="10.57421875" style="0" bestFit="1" customWidth="1"/>
    <col min="9" max="9" width="31.140625" style="0" bestFit="1" customWidth="1"/>
    <col min="10" max="10" width="8.28125" style="0" customWidth="1"/>
    <col min="11" max="15" width="7.00390625" style="0" bestFit="1" customWidth="1"/>
    <col min="16" max="16" width="7.00390625" style="0" customWidth="1"/>
    <col min="17" max="18" width="7.00390625" style="0" bestFit="1" customWidth="1"/>
  </cols>
  <sheetData>
    <row r="1" spans="1:19" ht="12.75">
      <c r="A1" s="16"/>
      <c r="B1" s="16" t="s">
        <v>25</v>
      </c>
      <c r="C1" s="16"/>
      <c r="D1" s="17"/>
      <c r="E1" s="17" t="s">
        <v>26</v>
      </c>
      <c r="F1" s="17"/>
      <c r="G1" s="17"/>
      <c r="H1" s="16"/>
      <c r="I1" s="16" t="s">
        <v>27</v>
      </c>
      <c r="J1" s="16"/>
      <c r="K1" s="17" t="s">
        <v>70</v>
      </c>
      <c r="L1" s="17"/>
      <c r="M1" s="17"/>
      <c r="Q1" s="17" t="s">
        <v>70</v>
      </c>
      <c r="R1" s="17" t="s">
        <v>74</v>
      </c>
      <c r="S1" s="17">
        <v>420</v>
      </c>
    </row>
    <row r="2" spans="1:19" ht="12.75">
      <c r="A2" s="16"/>
      <c r="B2" s="16" t="s">
        <v>28</v>
      </c>
      <c r="C2" s="16" t="s">
        <v>29</v>
      </c>
      <c r="D2" s="17"/>
      <c r="E2" s="17" t="s">
        <v>28</v>
      </c>
      <c r="F2" s="18" t="s">
        <v>29</v>
      </c>
      <c r="G2" s="18"/>
      <c r="H2" s="19"/>
      <c r="I2" s="19" t="s">
        <v>0</v>
      </c>
      <c r="J2" s="20" t="s">
        <v>29</v>
      </c>
      <c r="K2" s="17"/>
      <c r="L2" s="17"/>
      <c r="M2" s="17"/>
      <c r="Q2" s="17"/>
      <c r="R2" s="17"/>
      <c r="S2" s="17">
        <v>480</v>
      </c>
    </row>
    <row r="3" spans="1:19" ht="12.75">
      <c r="A3" s="16">
        <v>1</v>
      </c>
      <c r="B3" s="66" t="s">
        <v>30</v>
      </c>
      <c r="C3" s="22">
        <v>73</v>
      </c>
      <c r="D3" s="17">
        <v>1</v>
      </c>
      <c r="E3" s="23" t="s">
        <v>62</v>
      </c>
      <c r="F3" s="24">
        <v>69</v>
      </c>
      <c r="G3" s="24"/>
      <c r="H3" s="19">
        <v>1</v>
      </c>
      <c r="I3" s="19" t="str">
        <f>INDEX(Preklady!B3:D92,67,Preklady!A1)</f>
        <v>jednopanelové</v>
      </c>
      <c r="J3" s="25">
        <v>632</v>
      </c>
      <c r="K3" s="17">
        <v>1</v>
      </c>
      <c r="L3" s="17" t="str">
        <f>INDEX(Preklady!B3:D92,72,Preklady!A1)</f>
        <v>jednoduché</v>
      </c>
      <c r="M3" s="17"/>
      <c r="Q3" s="17" t="s">
        <v>75</v>
      </c>
      <c r="R3" s="17">
        <v>12</v>
      </c>
      <c r="S3" s="17">
        <v>540</v>
      </c>
    </row>
    <row r="4" spans="1:19" ht="12.75">
      <c r="A4" s="16">
        <v>2</v>
      </c>
      <c r="B4" s="66" t="s">
        <v>112</v>
      </c>
      <c r="C4" s="22">
        <v>75</v>
      </c>
      <c r="D4" s="17">
        <v>2</v>
      </c>
      <c r="E4" s="23" t="s">
        <v>61</v>
      </c>
      <c r="F4" s="24">
        <v>71</v>
      </c>
      <c r="G4" s="24"/>
      <c r="H4" s="19">
        <v>2</v>
      </c>
      <c r="I4" s="19" t="str">
        <f>INDEX(Preklady!B3:D92,68,Preklady!A1)</f>
        <v>jednopanelové s konvektorom</v>
      </c>
      <c r="J4" s="25">
        <v>807</v>
      </c>
      <c r="K4" s="17">
        <v>2</v>
      </c>
      <c r="L4" s="17" t="str">
        <f>INDEX(Preklady!B3:D92,73,Preklady!A1)</f>
        <v>zdvojené</v>
      </c>
      <c r="M4" s="17"/>
      <c r="Q4" s="17"/>
      <c r="R4" s="17"/>
      <c r="S4" s="17">
        <v>600</v>
      </c>
    </row>
    <row r="5" spans="1:19" ht="12.75">
      <c r="A5" s="16">
        <v>3</v>
      </c>
      <c r="B5" s="66" t="s">
        <v>113</v>
      </c>
      <c r="C5" s="22">
        <v>63</v>
      </c>
      <c r="D5" s="17">
        <v>3</v>
      </c>
      <c r="E5" s="23" t="s">
        <v>63</v>
      </c>
      <c r="F5" s="24">
        <v>87</v>
      </c>
      <c r="G5" s="24"/>
      <c r="H5" s="19">
        <v>3</v>
      </c>
      <c r="I5" s="19" t="str">
        <f>INDEX(Preklady!B3:D92,69,Preklady!A1)</f>
        <v>dvojpanelové</v>
      </c>
      <c r="J5" s="25">
        <v>1063</v>
      </c>
      <c r="K5" s="17">
        <v>3</v>
      </c>
      <c r="L5" s="17" t="str">
        <f>INDEX(Preklady!B3:D92,74,Preklady!A1)</f>
        <v>strojnásobené</v>
      </c>
      <c r="M5" s="17"/>
      <c r="S5" s="17">
        <v>660</v>
      </c>
    </row>
    <row r="6" spans="1:19" ht="12.75">
      <c r="A6" s="16">
        <v>4</v>
      </c>
      <c r="B6" s="66" t="s">
        <v>32</v>
      </c>
      <c r="C6" s="22">
        <v>70</v>
      </c>
      <c r="D6" s="17">
        <v>4</v>
      </c>
      <c r="E6" s="23" t="s">
        <v>38</v>
      </c>
      <c r="F6" s="24">
        <v>92</v>
      </c>
      <c r="G6" s="24"/>
      <c r="H6" s="19">
        <v>4</v>
      </c>
      <c r="I6" s="19" t="str">
        <f>INDEX(Preklady!B3:D92,70,Preklady!A1)</f>
        <v>dvojpanelové s jedným konvektorom</v>
      </c>
      <c r="J6" s="25">
        <v>1243</v>
      </c>
      <c r="K6" s="17"/>
      <c r="L6" s="17"/>
      <c r="M6" s="17"/>
      <c r="S6" s="17">
        <v>720</v>
      </c>
    </row>
    <row r="7" spans="1:19" ht="12.75">
      <c r="A7" s="16">
        <v>5</v>
      </c>
      <c r="B7" s="66" t="s">
        <v>35</v>
      </c>
      <c r="C7" s="22">
        <v>73</v>
      </c>
      <c r="D7" s="17">
        <v>5</v>
      </c>
      <c r="E7" s="23" t="s">
        <v>64</v>
      </c>
      <c r="F7" s="24">
        <v>129</v>
      </c>
      <c r="G7" s="24"/>
      <c r="H7" s="19">
        <v>5</v>
      </c>
      <c r="I7" s="19" t="str">
        <f>INDEX(Preklady!B3:D92,71,Preklady!A1)</f>
        <v>dvojpanelové s dvoma konvektormi</v>
      </c>
      <c r="J7" s="25">
        <v>1488</v>
      </c>
      <c r="K7" s="47"/>
      <c r="L7" s="47" t="s">
        <v>45</v>
      </c>
      <c r="M7" s="47">
        <v>2</v>
      </c>
      <c r="N7" s="48"/>
      <c r="O7" s="48"/>
      <c r="P7" s="28"/>
      <c r="S7" s="17">
        <v>780</v>
      </c>
    </row>
    <row r="8" spans="1:19" ht="12.75">
      <c r="A8" s="16">
        <v>6</v>
      </c>
      <c r="B8" s="66" t="s">
        <v>33</v>
      </c>
      <c r="C8" s="22">
        <v>84</v>
      </c>
      <c r="D8" s="17">
        <v>6</v>
      </c>
      <c r="E8" s="23" t="s">
        <v>65</v>
      </c>
      <c r="F8" s="24">
        <v>166</v>
      </c>
      <c r="G8" s="24"/>
      <c r="H8" s="26"/>
      <c r="I8" s="16"/>
      <c r="J8" s="19"/>
      <c r="K8" s="17"/>
      <c r="L8" s="17"/>
      <c r="M8" s="17">
        <v>1</v>
      </c>
      <c r="N8" s="17">
        <v>2</v>
      </c>
      <c r="O8" s="17">
        <v>3</v>
      </c>
      <c r="P8" s="17"/>
      <c r="S8" s="17">
        <v>840</v>
      </c>
    </row>
    <row r="9" spans="1:19" ht="12.75">
      <c r="A9" s="16">
        <v>7</v>
      </c>
      <c r="B9" s="66" t="s">
        <v>40</v>
      </c>
      <c r="C9" s="22">
        <v>95</v>
      </c>
      <c r="D9" s="17"/>
      <c r="E9" s="23"/>
      <c r="F9" s="27"/>
      <c r="G9" s="27"/>
      <c r="H9" s="19"/>
      <c r="I9" s="26" t="s">
        <v>45</v>
      </c>
      <c r="J9" s="19">
        <v>4</v>
      </c>
      <c r="K9" s="17" t="s">
        <v>73</v>
      </c>
      <c r="L9" s="17">
        <v>200</v>
      </c>
      <c r="M9" s="18">
        <v>232</v>
      </c>
      <c r="N9" s="18">
        <v>393</v>
      </c>
      <c r="O9" s="17">
        <v>544</v>
      </c>
      <c r="P9" s="17"/>
      <c r="S9" s="17">
        <v>900</v>
      </c>
    </row>
    <row r="10" spans="1:19" ht="12.75">
      <c r="A10" s="16">
        <v>8</v>
      </c>
      <c r="B10" s="66" t="s">
        <v>36</v>
      </c>
      <c r="C10" s="22">
        <v>105</v>
      </c>
      <c r="D10" s="23" t="s">
        <v>45</v>
      </c>
      <c r="E10" s="23">
        <v>2</v>
      </c>
      <c r="F10" s="27"/>
      <c r="G10" s="27"/>
      <c r="H10" s="19"/>
      <c r="I10" s="19"/>
      <c r="J10" s="19"/>
      <c r="K10" s="17"/>
      <c r="L10" s="18">
        <v>300</v>
      </c>
      <c r="M10" s="18">
        <v>322</v>
      </c>
      <c r="N10" s="18">
        <v>535</v>
      </c>
      <c r="O10" s="17">
        <v>741</v>
      </c>
      <c r="P10" s="17"/>
      <c r="S10" s="17">
        <v>960</v>
      </c>
    </row>
    <row r="11" spans="1:19" ht="12.75">
      <c r="A11" s="16">
        <v>9</v>
      </c>
      <c r="B11" s="66" t="s">
        <v>44</v>
      </c>
      <c r="C11" s="22">
        <v>118</v>
      </c>
      <c r="E11" s="29"/>
      <c r="F11" s="2"/>
      <c r="G11" s="2"/>
      <c r="H11" s="19"/>
      <c r="I11" s="19" t="s">
        <v>47</v>
      </c>
      <c r="J11" s="19"/>
      <c r="K11" s="17"/>
      <c r="L11" s="18">
        <v>400</v>
      </c>
      <c r="M11" s="18">
        <v>407</v>
      </c>
      <c r="N11" s="18">
        <v>661</v>
      </c>
      <c r="O11" s="17">
        <v>947</v>
      </c>
      <c r="P11" s="17"/>
      <c r="S11" s="17">
        <v>1020</v>
      </c>
    </row>
    <row r="12" spans="1:19" ht="12.75">
      <c r="A12" s="16">
        <v>10</v>
      </c>
      <c r="B12" s="66" t="s">
        <v>114</v>
      </c>
      <c r="C12" s="22">
        <v>54</v>
      </c>
      <c r="E12" s="29"/>
      <c r="F12" s="2"/>
      <c r="G12" s="2"/>
      <c r="H12" s="19">
        <v>1</v>
      </c>
      <c r="I12" s="30">
        <v>600</v>
      </c>
      <c r="J12" s="19"/>
      <c r="K12" s="17"/>
      <c r="L12" s="18">
        <v>500</v>
      </c>
      <c r="M12" s="18">
        <v>497</v>
      </c>
      <c r="N12" s="18">
        <v>824</v>
      </c>
      <c r="O12" s="17">
        <v>1151</v>
      </c>
      <c r="P12" s="17"/>
      <c r="S12" s="17">
        <v>1080</v>
      </c>
    </row>
    <row r="13" spans="1:19" ht="12.75">
      <c r="A13" s="16">
        <v>11</v>
      </c>
      <c r="B13" s="66" t="s">
        <v>46</v>
      </c>
      <c r="C13" s="22">
        <v>67</v>
      </c>
      <c r="E13" s="29"/>
      <c r="F13" s="2"/>
      <c r="G13" s="2"/>
      <c r="H13" s="19">
        <v>2</v>
      </c>
      <c r="I13" s="30">
        <v>720</v>
      </c>
      <c r="J13" s="19"/>
      <c r="K13" s="17"/>
      <c r="L13" s="18">
        <v>600</v>
      </c>
      <c r="M13" s="18">
        <v>590</v>
      </c>
      <c r="N13" s="18">
        <v>984</v>
      </c>
      <c r="O13" s="17">
        <v>1357</v>
      </c>
      <c r="P13" s="17"/>
      <c r="S13" s="17">
        <v>1140</v>
      </c>
    </row>
    <row r="14" spans="1:19" ht="12.75">
      <c r="A14" s="16">
        <v>12</v>
      </c>
      <c r="B14" s="66" t="s">
        <v>141</v>
      </c>
      <c r="C14" s="22">
        <v>95</v>
      </c>
      <c r="E14" s="29"/>
      <c r="F14" s="2"/>
      <c r="G14" s="2"/>
      <c r="H14" s="19">
        <v>3</v>
      </c>
      <c r="I14" s="30">
        <v>840</v>
      </c>
      <c r="J14" s="19"/>
      <c r="K14" s="17" t="s">
        <v>45</v>
      </c>
      <c r="L14" s="18">
        <v>5</v>
      </c>
      <c r="M14" s="28"/>
      <c r="N14" s="28"/>
      <c r="S14" s="17">
        <v>1200</v>
      </c>
    </row>
    <row r="15" spans="1:19" ht="12.75">
      <c r="A15" s="16">
        <v>13</v>
      </c>
      <c r="B15" s="66" t="s">
        <v>48</v>
      </c>
      <c r="C15" s="22">
        <v>119</v>
      </c>
      <c r="E15" s="29"/>
      <c r="F15" s="2"/>
      <c r="G15" s="2"/>
      <c r="H15" s="19">
        <v>4</v>
      </c>
      <c r="I15" s="30">
        <v>960</v>
      </c>
      <c r="J15" s="19"/>
      <c r="L15" s="28"/>
      <c r="M15" s="28"/>
      <c r="N15" s="28"/>
      <c r="S15" s="17">
        <v>1260</v>
      </c>
    </row>
    <row r="16" spans="1:19" ht="12.75">
      <c r="A16" s="16">
        <v>14</v>
      </c>
      <c r="B16" s="66" t="s">
        <v>111</v>
      </c>
      <c r="C16" s="22">
        <v>87</v>
      </c>
      <c r="E16" s="29"/>
      <c r="F16" s="2"/>
      <c r="G16" s="2"/>
      <c r="H16" s="19">
        <v>5</v>
      </c>
      <c r="I16" s="30">
        <v>1080</v>
      </c>
      <c r="J16" s="19"/>
      <c r="L16" s="28"/>
      <c r="M16" s="28"/>
      <c r="N16" s="28"/>
      <c r="S16" s="17">
        <v>1320</v>
      </c>
    </row>
    <row r="17" spans="1:19" ht="12.75">
      <c r="A17" s="16">
        <v>15</v>
      </c>
      <c r="B17" s="66" t="s">
        <v>115</v>
      </c>
      <c r="C17" s="22">
        <v>154</v>
      </c>
      <c r="E17" s="29"/>
      <c r="F17" s="2"/>
      <c r="G17" s="2"/>
      <c r="H17" s="19">
        <v>6</v>
      </c>
      <c r="I17" s="30">
        <v>1200</v>
      </c>
      <c r="J17" s="19"/>
      <c r="L17" s="28"/>
      <c r="M17" s="28"/>
      <c r="N17" s="28"/>
      <c r="S17" s="17">
        <v>1380</v>
      </c>
    </row>
    <row r="18" spans="1:19" ht="12.75">
      <c r="A18" s="16">
        <v>16</v>
      </c>
      <c r="B18" s="66" t="s">
        <v>38</v>
      </c>
      <c r="C18" s="22">
        <v>101</v>
      </c>
      <c r="H18" s="19">
        <v>7</v>
      </c>
      <c r="I18" s="30">
        <v>1320</v>
      </c>
      <c r="J18" s="16"/>
      <c r="S18" s="17">
        <v>1440</v>
      </c>
    </row>
    <row r="19" spans="1:19" ht="12.75">
      <c r="A19" s="16">
        <v>17</v>
      </c>
      <c r="B19" s="66" t="s">
        <v>41</v>
      </c>
      <c r="C19" s="22">
        <v>142</v>
      </c>
      <c r="H19" s="19">
        <v>8</v>
      </c>
      <c r="I19" s="30">
        <v>1440</v>
      </c>
      <c r="J19" s="16"/>
      <c r="S19" s="17">
        <v>1500</v>
      </c>
    </row>
    <row r="20" spans="1:19" ht="12.75">
      <c r="A20" s="16">
        <v>18</v>
      </c>
      <c r="B20" s="66" t="s">
        <v>43</v>
      </c>
      <c r="C20" s="22">
        <v>181</v>
      </c>
      <c r="H20" s="19">
        <v>9</v>
      </c>
      <c r="I20" s="30">
        <v>1560</v>
      </c>
      <c r="J20" s="16"/>
      <c r="S20" s="17">
        <v>1560</v>
      </c>
    </row>
    <row r="21" spans="1:19" ht="12.75">
      <c r="A21" s="21" t="s">
        <v>45</v>
      </c>
      <c r="B21" s="16">
        <v>9</v>
      </c>
      <c r="C21" s="16"/>
      <c r="H21" s="19">
        <v>10</v>
      </c>
      <c r="I21" s="30">
        <v>1680</v>
      </c>
      <c r="J21" s="16"/>
      <c r="S21" s="17">
        <v>1620</v>
      </c>
    </row>
    <row r="22" spans="1:19" ht="12.75">
      <c r="A22" s="31"/>
      <c r="B22" s="31"/>
      <c r="C22" s="31"/>
      <c r="H22" s="19">
        <v>11</v>
      </c>
      <c r="I22" s="30">
        <v>1800</v>
      </c>
      <c r="J22" s="16"/>
      <c r="S22" s="17">
        <v>1680</v>
      </c>
    </row>
    <row r="23" spans="1:19" ht="12.75">
      <c r="A23" s="15" t="s">
        <v>49</v>
      </c>
      <c r="B23" s="15"/>
      <c r="H23" s="19">
        <v>12</v>
      </c>
      <c r="I23" s="30">
        <v>1920</v>
      </c>
      <c r="J23" s="16"/>
      <c r="S23" s="17">
        <v>1740</v>
      </c>
    </row>
    <row r="24" spans="1:19" ht="12.75">
      <c r="A24" s="15">
        <v>4</v>
      </c>
      <c r="B24" s="15"/>
      <c r="H24" s="19">
        <v>13</v>
      </c>
      <c r="I24" s="30">
        <v>2040</v>
      </c>
      <c r="J24" s="16"/>
      <c r="S24" s="17">
        <v>1800</v>
      </c>
    </row>
    <row r="25" spans="8:19" ht="12.75">
      <c r="H25" s="16"/>
      <c r="I25" s="26" t="s">
        <v>45</v>
      </c>
      <c r="J25" s="16">
        <v>5</v>
      </c>
      <c r="S25" s="17">
        <v>1860</v>
      </c>
    </row>
    <row r="26" spans="8:19" ht="12.75">
      <c r="H26" s="31"/>
      <c r="I26" s="32"/>
      <c r="J26" s="31"/>
      <c r="S26" s="17">
        <v>1920</v>
      </c>
    </row>
    <row r="27" spans="1:19" ht="12.75">
      <c r="A27" s="33"/>
      <c r="B27" s="33"/>
      <c r="C27" s="34">
        <v>10</v>
      </c>
      <c r="D27" s="34">
        <v>11</v>
      </c>
      <c r="E27" s="34">
        <v>20</v>
      </c>
      <c r="F27" s="34" t="s">
        <v>158</v>
      </c>
      <c r="G27" s="34">
        <v>21</v>
      </c>
      <c r="H27" s="34">
        <v>22</v>
      </c>
      <c r="I27" s="35">
        <v>30</v>
      </c>
      <c r="J27" s="34">
        <v>33</v>
      </c>
      <c r="K27" s="36">
        <v>10</v>
      </c>
      <c r="L27" s="36">
        <v>11</v>
      </c>
      <c r="M27" s="36">
        <v>20</v>
      </c>
      <c r="N27" s="2" t="s">
        <v>158</v>
      </c>
      <c r="O27" s="36">
        <v>21</v>
      </c>
      <c r="P27" s="36">
        <v>22</v>
      </c>
      <c r="Q27" s="36">
        <v>30</v>
      </c>
      <c r="R27" s="36">
        <v>33</v>
      </c>
      <c r="S27" s="17">
        <v>1980</v>
      </c>
    </row>
    <row r="28" spans="1:19" ht="12.75">
      <c r="A28" s="33"/>
      <c r="B28" s="33" t="s">
        <v>50</v>
      </c>
      <c r="C28" s="34" t="s">
        <v>13</v>
      </c>
      <c r="D28" s="34" t="s">
        <v>13</v>
      </c>
      <c r="E28" s="34" t="s">
        <v>13</v>
      </c>
      <c r="F28" s="34" t="s">
        <v>13</v>
      </c>
      <c r="G28" s="34" t="s">
        <v>13</v>
      </c>
      <c r="H28" s="34" t="s">
        <v>13</v>
      </c>
      <c r="I28" s="34" t="s">
        <v>13</v>
      </c>
      <c r="J28" s="34" t="s">
        <v>13</v>
      </c>
      <c r="S28" s="17">
        <v>2040</v>
      </c>
    </row>
    <row r="29" spans="1:19" ht="12.75">
      <c r="A29" s="33">
        <v>1</v>
      </c>
      <c r="B29" s="33">
        <v>300</v>
      </c>
      <c r="C29" s="37">
        <v>342</v>
      </c>
      <c r="D29" s="37">
        <v>545</v>
      </c>
      <c r="E29" s="37">
        <v>559</v>
      </c>
      <c r="F29" s="34">
        <v>612</v>
      </c>
      <c r="G29" s="37">
        <v>752</v>
      </c>
      <c r="H29" s="37">
        <v>983</v>
      </c>
      <c r="I29" s="37">
        <v>828</v>
      </c>
      <c r="J29" s="37">
        <v>1388</v>
      </c>
      <c r="K29" t="b">
        <f aca="true" t="shared" si="0" ref="K29:K34">OR($C$51&lt;0.4,$C$51&gt;3)</f>
        <v>0</v>
      </c>
      <c r="L29" t="b">
        <f aca="true" t="shared" si="1" ref="L29:L34">OR($D$51&lt;0.4,$D$51&gt;2)</f>
        <v>1</v>
      </c>
      <c r="M29" t="b">
        <f aca="true" t="shared" si="2" ref="M29:M34">OR($E$51&lt;0.4,$E$51&gt;3)</f>
        <v>0</v>
      </c>
      <c r="N29" t="b">
        <f aca="true" t="shared" si="3" ref="N29:O34">OR($F$51&lt;0.4,$F$51&gt;3)</f>
        <v>0</v>
      </c>
      <c r="O29" t="b">
        <f t="shared" si="3"/>
        <v>0</v>
      </c>
      <c r="P29" t="b">
        <f aca="true" t="shared" si="4" ref="P29:P34">OR($H$51&lt;0.4,$H$51&gt;3)</f>
        <v>0</v>
      </c>
      <c r="Q29" t="b">
        <f aca="true" t="shared" si="5" ref="Q29:Q34">OR($I$51&lt;0.4,$I$51&gt;3)</f>
        <v>0</v>
      </c>
      <c r="R29" t="b">
        <f aca="true" t="shared" si="6" ref="R29:R34">OR($J$51&lt;0.4,$J$51&gt;3)</f>
        <v>0</v>
      </c>
      <c r="S29" s="17">
        <v>2100</v>
      </c>
    </row>
    <row r="30" spans="1:19" ht="12.75">
      <c r="A30" s="33">
        <v>2</v>
      </c>
      <c r="B30" s="33">
        <v>400</v>
      </c>
      <c r="C30" s="37">
        <v>443</v>
      </c>
      <c r="D30" s="37">
        <v>689</v>
      </c>
      <c r="E30" s="37">
        <v>697</v>
      </c>
      <c r="F30" s="34">
        <v>769</v>
      </c>
      <c r="G30" s="37">
        <v>937</v>
      </c>
      <c r="H30" s="37">
        <v>1233</v>
      </c>
      <c r="I30" s="37">
        <v>1044</v>
      </c>
      <c r="J30" s="37">
        <v>1751</v>
      </c>
      <c r="K30" t="b">
        <f t="shared" si="0"/>
        <v>0</v>
      </c>
      <c r="L30" t="b">
        <f t="shared" si="1"/>
        <v>1</v>
      </c>
      <c r="M30" t="b">
        <f t="shared" si="2"/>
        <v>0</v>
      </c>
      <c r="N30" t="b">
        <f t="shared" si="3"/>
        <v>0</v>
      </c>
      <c r="O30" t="b">
        <f t="shared" si="3"/>
        <v>0</v>
      </c>
      <c r="P30" t="b">
        <f t="shared" si="4"/>
        <v>0</v>
      </c>
      <c r="Q30" t="b">
        <f t="shared" si="5"/>
        <v>0</v>
      </c>
      <c r="R30" t="b">
        <f t="shared" si="6"/>
        <v>0</v>
      </c>
      <c r="S30" s="17">
        <v>2160</v>
      </c>
    </row>
    <row r="31" spans="1:19" ht="12.75">
      <c r="A31" s="33">
        <v>3</v>
      </c>
      <c r="B31" s="33">
        <v>500</v>
      </c>
      <c r="C31" s="37">
        <v>536</v>
      </c>
      <c r="D31" s="37">
        <v>826</v>
      </c>
      <c r="E31" s="37">
        <v>832</v>
      </c>
      <c r="F31" s="34">
        <v>920</v>
      </c>
      <c r="G31" s="37">
        <v>1115</v>
      </c>
      <c r="H31" s="37">
        <v>1470</v>
      </c>
      <c r="I31" s="37">
        <v>1253</v>
      </c>
      <c r="J31" s="37">
        <v>2091</v>
      </c>
      <c r="K31" t="b">
        <f t="shared" si="0"/>
        <v>0</v>
      </c>
      <c r="L31" t="b">
        <f t="shared" si="1"/>
        <v>1</v>
      </c>
      <c r="M31" t="b">
        <f t="shared" si="2"/>
        <v>0</v>
      </c>
      <c r="N31" t="b">
        <f t="shared" si="3"/>
        <v>0</v>
      </c>
      <c r="O31" t="b">
        <f t="shared" si="3"/>
        <v>0</v>
      </c>
      <c r="P31" t="b">
        <f t="shared" si="4"/>
        <v>0</v>
      </c>
      <c r="Q31" t="b">
        <f t="shared" si="5"/>
        <v>0</v>
      </c>
      <c r="R31" t="b">
        <f t="shared" si="6"/>
        <v>0</v>
      </c>
      <c r="S31" s="17">
        <v>2220</v>
      </c>
    </row>
    <row r="32" spans="1:19" ht="12.75">
      <c r="A32" s="33">
        <v>4</v>
      </c>
      <c r="B32" s="33">
        <v>550</v>
      </c>
      <c r="C32" s="37">
        <v>583</v>
      </c>
      <c r="D32" s="37">
        <v>1</v>
      </c>
      <c r="E32" s="37">
        <v>904</v>
      </c>
      <c r="F32" s="34">
        <v>995</v>
      </c>
      <c r="G32" s="37">
        <v>1208</v>
      </c>
      <c r="H32" s="37">
        <v>1594</v>
      </c>
      <c r="I32" s="37">
        <v>1363</v>
      </c>
      <c r="J32" s="37">
        <v>2265</v>
      </c>
      <c r="K32" t="b">
        <f t="shared" si="0"/>
        <v>0</v>
      </c>
      <c r="L32" t="b">
        <f t="shared" si="1"/>
        <v>1</v>
      </c>
      <c r="M32" t="b">
        <f t="shared" si="2"/>
        <v>0</v>
      </c>
      <c r="N32" t="b">
        <f t="shared" si="3"/>
        <v>0</v>
      </c>
      <c r="O32" t="b">
        <f t="shared" si="3"/>
        <v>0</v>
      </c>
      <c r="P32" t="b">
        <f t="shared" si="4"/>
        <v>0</v>
      </c>
      <c r="Q32" t="b">
        <f t="shared" si="5"/>
        <v>0</v>
      </c>
      <c r="R32" t="b">
        <f t="shared" si="6"/>
        <v>0</v>
      </c>
      <c r="S32" s="17"/>
    </row>
    <row r="33" spans="1:19" ht="12.75">
      <c r="A33" s="33">
        <v>5</v>
      </c>
      <c r="B33" s="33">
        <v>600</v>
      </c>
      <c r="C33" s="37">
        <v>621</v>
      </c>
      <c r="D33" s="37">
        <v>960</v>
      </c>
      <c r="E33" s="37">
        <v>966</v>
      </c>
      <c r="F33" s="34">
        <v>1068</v>
      </c>
      <c r="G33" s="37">
        <v>1287</v>
      </c>
      <c r="H33" s="37">
        <v>1698</v>
      </c>
      <c r="I33" s="37">
        <v>1455</v>
      </c>
      <c r="J33" s="37">
        <v>2410</v>
      </c>
      <c r="K33" t="b">
        <f t="shared" si="0"/>
        <v>0</v>
      </c>
      <c r="L33" t="b">
        <f t="shared" si="1"/>
        <v>1</v>
      </c>
      <c r="M33" t="b">
        <f t="shared" si="2"/>
        <v>0</v>
      </c>
      <c r="N33" t="b">
        <f t="shared" si="3"/>
        <v>0</v>
      </c>
      <c r="O33" t="b">
        <f t="shared" si="3"/>
        <v>0</v>
      </c>
      <c r="P33" t="b">
        <f t="shared" si="4"/>
        <v>0</v>
      </c>
      <c r="Q33" t="b">
        <f t="shared" si="5"/>
        <v>0</v>
      </c>
      <c r="R33" t="b">
        <f t="shared" si="6"/>
        <v>0</v>
      </c>
      <c r="S33" s="17">
        <v>2280</v>
      </c>
    </row>
    <row r="34" spans="1:19" ht="12.75">
      <c r="A34" s="33">
        <v>6</v>
      </c>
      <c r="B34" s="33">
        <v>900</v>
      </c>
      <c r="C34" s="37">
        <v>829</v>
      </c>
      <c r="D34" s="37">
        <v>1345</v>
      </c>
      <c r="E34" s="37">
        <v>1369</v>
      </c>
      <c r="F34" s="34">
        <v>1500</v>
      </c>
      <c r="G34" s="37">
        <v>1788</v>
      </c>
      <c r="H34" s="37">
        <v>2348</v>
      </c>
      <c r="I34" s="37">
        <v>2040</v>
      </c>
      <c r="J34" s="37">
        <v>3267</v>
      </c>
      <c r="K34" t="b">
        <f t="shared" si="0"/>
        <v>0</v>
      </c>
      <c r="L34" t="b">
        <f t="shared" si="1"/>
        <v>1</v>
      </c>
      <c r="M34" t="b">
        <f t="shared" si="2"/>
        <v>0</v>
      </c>
      <c r="N34" t="b">
        <f t="shared" si="3"/>
        <v>0</v>
      </c>
      <c r="O34" t="b">
        <f t="shared" si="3"/>
        <v>0</v>
      </c>
      <c r="P34" t="b">
        <f t="shared" si="4"/>
        <v>0</v>
      </c>
      <c r="Q34" t="b">
        <f t="shared" si="5"/>
        <v>0</v>
      </c>
      <c r="R34" t="b">
        <f t="shared" si="6"/>
        <v>0</v>
      </c>
      <c r="S34" s="17">
        <v>2340</v>
      </c>
    </row>
    <row r="35" spans="1:19" ht="12.75">
      <c r="A35" s="33" t="s">
        <v>51</v>
      </c>
      <c r="B35" s="33">
        <v>4</v>
      </c>
      <c r="C35" s="33"/>
      <c r="D35" s="33"/>
      <c r="E35" s="33"/>
      <c r="F35" s="33"/>
      <c r="G35" s="33"/>
      <c r="H35" s="33"/>
      <c r="I35" s="33"/>
      <c r="J35" s="33"/>
      <c r="S35" s="17">
        <v>2400</v>
      </c>
    </row>
    <row r="36" spans="2:19" ht="12.75">
      <c r="B36">
        <f>10*C46+B35</f>
        <v>4</v>
      </c>
      <c r="S36" s="17">
        <v>2460</v>
      </c>
    </row>
    <row r="37" spans="1:19" ht="12.75">
      <c r="A37" s="68"/>
      <c r="B37" s="68"/>
      <c r="C37" s="72">
        <v>10</v>
      </c>
      <c r="D37" s="72">
        <v>11</v>
      </c>
      <c r="E37" s="72">
        <v>20</v>
      </c>
      <c r="F37" s="72" t="s">
        <v>158</v>
      </c>
      <c r="G37" s="72">
        <v>21</v>
      </c>
      <c r="H37" s="72">
        <v>22</v>
      </c>
      <c r="I37" s="87">
        <v>30</v>
      </c>
      <c r="J37" s="72">
        <v>33</v>
      </c>
      <c r="S37" s="17">
        <v>2520</v>
      </c>
    </row>
    <row r="38" spans="1:19" ht="12.75">
      <c r="A38" s="68"/>
      <c r="B38" s="68" t="s">
        <v>50</v>
      </c>
      <c r="C38" s="72" t="s">
        <v>13</v>
      </c>
      <c r="D38" s="72" t="s">
        <v>13</v>
      </c>
      <c r="E38" s="72" t="s">
        <v>13</v>
      </c>
      <c r="F38" s="72" t="s">
        <v>13</v>
      </c>
      <c r="G38" s="72" t="s">
        <v>13</v>
      </c>
      <c r="H38" s="72" t="s">
        <v>13</v>
      </c>
      <c r="I38" s="72" t="s">
        <v>13</v>
      </c>
      <c r="J38" s="72" t="s">
        <v>13</v>
      </c>
      <c r="S38" s="17">
        <v>2580</v>
      </c>
    </row>
    <row r="39" spans="1:19" ht="12.75">
      <c r="A39" s="68">
        <v>1</v>
      </c>
      <c r="B39" s="68">
        <v>300</v>
      </c>
      <c r="C39" s="88">
        <v>316</v>
      </c>
      <c r="D39" s="88">
        <v>506</v>
      </c>
      <c r="E39" s="88">
        <v>510.68284927874106</v>
      </c>
      <c r="F39" s="88">
        <v>559.3549377406785</v>
      </c>
      <c r="G39" s="88">
        <v>696.5825171318795</v>
      </c>
      <c r="H39" s="88">
        <v>912.5749144648702</v>
      </c>
      <c r="I39" s="88">
        <v>784.96115580359</v>
      </c>
      <c r="J39" s="88">
        <v>1299.9436039352972</v>
      </c>
      <c r="S39" s="17">
        <v>2640</v>
      </c>
    </row>
    <row r="40" spans="1:19" ht="12.75">
      <c r="A40" s="68">
        <v>2</v>
      </c>
      <c r="B40" s="68">
        <v>400</v>
      </c>
      <c r="C40" s="88">
        <v>399</v>
      </c>
      <c r="D40" s="88">
        <v>624</v>
      </c>
      <c r="E40" s="88">
        <v>644.7194861805283</v>
      </c>
      <c r="F40" s="88">
        <v>711.2385635920258</v>
      </c>
      <c r="G40" s="88">
        <v>855.1956663962094</v>
      </c>
      <c r="H40" s="88">
        <v>1145.9199884811435</v>
      </c>
      <c r="I40" s="88">
        <v>981.756914998157</v>
      </c>
      <c r="J40" s="88">
        <v>1633.6763760109097</v>
      </c>
      <c r="S40" s="17">
        <v>2700</v>
      </c>
    </row>
    <row r="41" spans="1:19" ht="12.75">
      <c r="A41" s="68">
        <v>3</v>
      </c>
      <c r="B41" s="68">
        <v>500</v>
      </c>
      <c r="C41" s="88">
        <v>476</v>
      </c>
      <c r="D41" s="88">
        <v>741</v>
      </c>
      <c r="E41" s="88">
        <v>772.0435571418875</v>
      </c>
      <c r="F41" s="88">
        <v>854.106654560758</v>
      </c>
      <c r="G41" s="88">
        <v>1006.0686458687254</v>
      </c>
      <c r="H41" s="88">
        <v>1364.1045834282465</v>
      </c>
      <c r="I41" s="88">
        <v>1171.5880400007488</v>
      </c>
      <c r="J41" s="88">
        <v>1950.5176334485404</v>
      </c>
      <c r="S41" s="17">
        <v>2760</v>
      </c>
    </row>
    <row r="42" spans="1:19" ht="12.75">
      <c r="A42" s="68">
        <v>4</v>
      </c>
      <c r="B42" s="68">
        <v>550</v>
      </c>
      <c r="C42" s="88">
        <v>515</v>
      </c>
      <c r="D42" s="88">
        <v>1</v>
      </c>
      <c r="E42" s="88">
        <v>838.549560824283</v>
      </c>
      <c r="F42" s="88">
        <v>927.9779600022325</v>
      </c>
      <c r="G42" s="88">
        <v>1085.3750217393392</v>
      </c>
      <c r="H42" s="88">
        <v>1476.6408678984772</v>
      </c>
      <c r="I42" s="88">
        <v>1272.2267077366455</v>
      </c>
      <c r="J42" s="88">
        <v>2116.0883622592055</v>
      </c>
      <c r="S42" s="17"/>
    </row>
    <row r="43" spans="1:19" ht="12.75">
      <c r="A43" s="68">
        <v>5</v>
      </c>
      <c r="B43" s="68">
        <v>600</v>
      </c>
      <c r="C43" s="88">
        <v>548</v>
      </c>
      <c r="D43" s="88">
        <v>860</v>
      </c>
      <c r="E43" s="88">
        <v>894.123236528103</v>
      </c>
      <c r="F43" s="88">
        <v>989.2425080129962</v>
      </c>
      <c r="G43" s="88">
        <v>1152.042792753547</v>
      </c>
      <c r="H43" s="88">
        <v>1569.8977080597676</v>
      </c>
      <c r="I43" s="88">
        <v>1357.225596939652</v>
      </c>
      <c r="J43" s="88">
        <v>2254.526183695906</v>
      </c>
      <c r="S43" s="17">
        <v>2820</v>
      </c>
    </row>
    <row r="44" spans="1:19" ht="12.75">
      <c r="A44" s="68">
        <v>6</v>
      </c>
      <c r="B44" s="68">
        <v>900</v>
      </c>
      <c r="C44" s="88">
        <v>735</v>
      </c>
      <c r="D44" s="88">
        <v>1237</v>
      </c>
      <c r="E44" s="88">
        <v>1236.9436049051178</v>
      </c>
      <c r="F44" s="88">
        <v>1355.9173332000398</v>
      </c>
      <c r="G44" s="88">
        <v>1575.2995745951334</v>
      </c>
      <c r="H44" s="88">
        <v>2128.597275320575</v>
      </c>
      <c r="I44" s="88">
        <v>1903.662581019614</v>
      </c>
      <c r="J44" s="88">
        <v>3111.515400407707</v>
      </c>
      <c r="S44" s="17">
        <v>2880</v>
      </c>
    </row>
    <row r="45" spans="1:19" ht="12.75">
      <c r="A45" s="31"/>
      <c r="B45" s="31"/>
      <c r="C45" s="89"/>
      <c r="D45" s="89"/>
      <c r="E45" s="89"/>
      <c r="F45" s="89"/>
      <c r="G45" s="89"/>
      <c r="H45" s="89"/>
      <c r="I45" s="89"/>
      <c r="J45" s="89"/>
      <c r="S45" s="31"/>
    </row>
    <row r="46" spans="1:19" ht="12.75">
      <c r="A46" s="68" t="s">
        <v>145</v>
      </c>
      <c r="B46" t="b">
        <v>0</v>
      </c>
      <c r="C46" s="89">
        <f>N(B46)</f>
        <v>0</v>
      </c>
      <c r="D46" s="89"/>
      <c r="E46" s="89"/>
      <c r="F46" s="89"/>
      <c r="G46" s="89"/>
      <c r="H46" s="89"/>
      <c r="I46" s="89"/>
      <c r="J46" s="89"/>
      <c r="S46" s="31"/>
    </row>
    <row r="47" spans="1:19" ht="12.75">
      <c r="A47" s="31"/>
      <c r="B47" s="31"/>
      <c r="C47" s="89"/>
      <c r="D47" s="89"/>
      <c r="E47" s="89"/>
      <c r="F47" s="89"/>
      <c r="G47" s="89"/>
      <c r="H47" s="89"/>
      <c r="I47" s="89"/>
      <c r="J47" s="89"/>
      <c r="S47" s="31"/>
    </row>
    <row r="48" ht="12.75">
      <c r="S48" s="31"/>
    </row>
    <row r="49" spans="1:19" ht="12.75">
      <c r="A49" s="16" t="s">
        <v>76</v>
      </c>
      <c r="B49" s="16"/>
      <c r="C49" s="16" t="s">
        <v>52</v>
      </c>
      <c r="D49" s="16"/>
      <c r="E49" s="16"/>
      <c r="F49" s="16"/>
      <c r="G49" s="16"/>
      <c r="H49" s="16"/>
      <c r="I49" s="16"/>
      <c r="J49" s="16"/>
      <c r="S49" s="31"/>
    </row>
    <row r="50" spans="1:10" ht="12.75">
      <c r="A50" s="16">
        <v>1</v>
      </c>
      <c r="B50" s="16">
        <f>'Vymeň starý za nový'!N5</f>
        <v>1180</v>
      </c>
      <c r="C50" s="22">
        <f>INDEX($A$50:$B$53,$A$24,2)/INDEX($A$29:$J$44,$B$36,3)</f>
        <v>1.8228473413379074</v>
      </c>
      <c r="D50" s="22">
        <f>INDEX($A$50:$B$53,$A$24,2)/INDEX($A$29:$J$44,$B$36,4)</f>
        <v>1062.72</v>
      </c>
      <c r="E50" s="22">
        <f>INDEX($A$50:$B$53,$A$24,2)/INDEX($A$29:$J$44,$B$36,5)</f>
        <v>1.175575221238938</v>
      </c>
      <c r="F50" s="22">
        <f>INDEX($A$50:$B$53,$A$24,2)/INDEX($A$29:$J$44,$B$36,6)</f>
        <v>1.0680603015075376</v>
      </c>
      <c r="G50" s="22">
        <f>INDEX($A$50:$B$53,$A$24,2)/INDEX($A$29:$J$44,$B$36,7)</f>
        <v>0.8797350993377484</v>
      </c>
      <c r="H50" s="22">
        <f>INDEX($A$50:$B$53,$A$24,2)/INDEX($A$29:$J$44,$B$36,8)</f>
        <v>0.6667001254705145</v>
      </c>
      <c r="I50" s="22">
        <f>INDEX($A$50:$B$53,$A$24,2)/INDEX($A$29:$J$44,$B$36,9)</f>
        <v>0.7796918561995598</v>
      </c>
      <c r="J50" s="22">
        <f>INDEX($A$50:$B$53,$A$24,2)/INDEX($A$29:$J$44,$B$36,10)</f>
        <v>0.46919205298013245</v>
      </c>
    </row>
    <row r="51" spans="1:10" ht="12.75">
      <c r="A51" s="16">
        <v>2</v>
      </c>
      <c r="B51" s="16">
        <f>'Vymeň starý za nový'!N8</f>
        <v>710</v>
      </c>
      <c r="C51">
        <f aca="true" t="shared" si="7" ref="C51:J51">ROUNDUP(C50,1)</f>
        <v>1.9000000000000001</v>
      </c>
      <c r="D51">
        <f t="shared" si="7"/>
        <v>1062.8</v>
      </c>
      <c r="E51">
        <f t="shared" si="7"/>
        <v>1.2000000000000002</v>
      </c>
      <c r="F51">
        <f t="shared" si="7"/>
        <v>1.1</v>
      </c>
      <c r="G51">
        <f t="shared" si="7"/>
        <v>0.9</v>
      </c>
      <c r="H51">
        <f t="shared" si="7"/>
        <v>0.7</v>
      </c>
      <c r="I51">
        <f t="shared" si="7"/>
        <v>0.7999999999999999</v>
      </c>
      <c r="J51">
        <f t="shared" si="7"/>
        <v>0.5</v>
      </c>
    </row>
    <row r="52" spans="1:2" ht="12.75">
      <c r="A52" s="16">
        <v>3</v>
      </c>
      <c r="B52" s="38">
        <f>'Vymeň starý za nový'!N11</f>
        <v>1342.44</v>
      </c>
    </row>
    <row r="53" spans="1:10" ht="12.75">
      <c r="A53" s="16">
        <v>4</v>
      </c>
      <c r="B53" s="50">
        <f>'Vymeň starý za nový'!N14</f>
        <v>1062.72</v>
      </c>
      <c r="C53">
        <f>IF(C50&gt;3,3,IF(C50&gt;0.4,C50,IF(C50&lt;0.4,0.4)))</f>
        <v>1.8228473413379074</v>
      </c>
      <c r="D53">
        <f>IF(D50&gt;2,2,IF(D50&gt;0.4,D50,IF(D50&lt;0.4,0.4)))</f>
        <v>2</v>
      </c>
      <c r="E53">
        <f aca="true" t="shared" si="8" ref="E53:J53">IF(E50&gt;3,3,IF(E50&gt;0.4,E50,IF(E50&lt;0.4,0.4)))</f>
        <v>1.175575221238938</v>
      </c>
      <c r="F53">
        <f t="shared" si="8"/>
        <v>1.0680603015075376</v>
      </c>
      <c r="G53">
        <f t="shared" si="8"/>
        <v>0.8797350993377484</v>
      </c>
      <c r="H53">
        <f t="shared" si="8"/>
        <v>0.6667001254705145</v>
      </c>
      <c r="I53">
        <f t="shared" si="8"/>
        <v>0.7796918561995598</v>
      </c>
      <c r="J53">
        <f t="shared" si="8"/>
        <v>0.46919205298013245</v>
      </c>
    </row>
    <row r="54" spans="3:10" ht="12.75">
      <c r="C54">
        <f>EVEN(C53*10)/10</f>
        <v>2</v>
      </c>
      <c r="D54">
        <f aca="true" t="shared" si="9" ref="D54:J54">EVEN(D53*10)/10</f>
        <v>2</v>
      </c>
      <c r="E54">
        <f t="shared" si="9"/>
        <v>1.2</v>
      </c>
      <c r="F54">
        <f t="shared" si="9"/>
        <v>1.2</v>
      </c>
      <c r="G54">
        <f t="shared" si="9"/>
        <v>1</v>
      </c>
      <c r="H54">
        <f t="shared" si="9"/>
        <v>0.8</v>
      </c>
      <c r="I54">
        <f t="shared" si="9"/>
        <v>0.8</v>
      </c>
      <c r="J54">
        <f t="shared" si="9"/>
        <v>0.6</v>
      </c>
    </row>
  </sheetData>
  <sheetProtection/>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s11"/>
  <dimension ref="A2:AG68"/>
  <sheetViews>
    <sheetView zoomScalePageLayoutView="0" workbookViewId="0" topLeftCell="C1">
      <selection activeCell="R9" sqref="R9"/>
    </sheetView>
  </sheetViews>
  <sheetFormatPr defaultColWidth="9.140625" defaultRowHeight="12.75"/>
  <cols>
    <col min="1" max="1" width="9.7109375" style="0" customWidth="1"/>
    <col min="2" max="2" width="11.7109375" style="0" customWidth="1"/>
    <col min="3" max="3" width="9.28125" style="0" bestFit="1" customWidth="1"/>
    <col min="4" max="4" width="8.00390625" style="0" bestFit="1" customWidth="1"/>
    <col min="5" max="5" width="7.140625" style="0" bestFit="1" customWidth="1"/>
    <col min="6" max="6" width="8.140625" style="0" bestFit="1" customWidth="1"/>
    <col min="7" max="7" width="5.7109375" style="0" bestFit="1" customWidth="1"/>
    <col min="8" max="8" width="12.140625" style="0" bestFit="1" customWidth="1"/>
    <col min="9" max="9" width="6.7109375" style="0" customWidth="1"/>
    <col min="10" max="10" width="7.00390625" style="0" bestFit="1" customWidth="1"/>
    <col min="11" max="11" width="6.7109375" style="0" customWidth="1"/>
    <col min="12" max="14" width="7.140625" style="0" bestFit="1" customWidth="1"/>
    <col min="15" max="15" width="3.8515625" style="0" customWidth="1"/>
    <col min="16" max="18" width="9.28125" style="0" bestFit="1" customWidth="1"/>
    <col min="19" max="19" width="3.7109375" style="0" customWidth="1"/>
    <col min="20" max="22" width="9.28125" style="0" bestFit="1" customWidth="1"/>
    <col min="24" max="26" width="9.28125" style="0" bestFit="1" customWidth="1"/>
    <col min="27" max="27" width="12.140625" style="0" bestFit="1" customWidth="1"/>
    <col min="28" max="31" width="9.28125" style="0" bestFit="1" customWidth="1"/>
  </cols>
  <sheetData>
    <row r="2" spans="2:4" ht="12.75">
      <c r="B2" s="5" t="s">
        <v>1</v>
      </c>
      <c r="C2" s="5"/>
      <c r="D2" s="5"/>
    </row>
    <row r="3" spans="1:2" ht="12.75">
      <c r="A3" s="4">
        <v>1</v>
      </c>
      <c r="B3" s="14">
        <v>300</v>
      </c>
    </row>
    <row r="4" spans="1:2" ht="12.75">
      <c r="A4" s="4">
        <v>2</v>
      </c>
      <c r="B4" s="2">
        <v>400</v>
      </c>
    </row>
    <row r="5" spans="1:2" ht="12.75">
      <c r="A5" s="4">
        <v>3</v>
      </c>
      <c r="B5" s="2">
        <v>500</v>
      </c>
    </row>
    <row r="6" spans="1:2" ht="12.75">
      <c r="A6" s="4">
        <v>4</v>
      </c>
      <c r="B6" s="2">
        <v>550</v>
      </c>
    </row>
    <row r="7" spans="1:9" ht="12.75">
      <c r="A7" s="4">
        <v>5</v>
      </c>
      <c r="B7" s="2">
        <v>600</v>
      </c>
      <c r="D7" s="29" t="s">
        <v>67</v>
      </c>
      <c r="E7" s="42">
        <f>(C15-C16)/(C14-C16)</f>
        <v>0.7777777777777778</v>
      </c>
      <c r="H7" t="s">
        <v>106</v>
      </c>
      <c r="I7" s="70">
        <f>'Výber radiátora'!I16</f>
        <v>1000</v>
      </c>
    </row>
    <row r="8" spans="1:5" ht="12.75">
      <c r="A8" s="4">
        <v>6</v>
      </c>
      <c r="B8" s="2">
        <v>900</v>
      </c>
      <c r="D8" s="43" t="s">
        <v>68</v>
      </c>
      <c r="E8" s="12">
        <f>(C14+C15)/2-C16</f>
        <v>40</v>
      </c>
    </row>
    <row r="9" spans="1:5" ht="12.75">
      <c r="A9" s="1"/>
      <c r="D9" s="43" t="s">
        <v>69</v>
      </c>
      <c r="E9">
        <f>(C14-C15)/LN((C14-C16)/(C15-C16))</f>
        <v>39.79079143367973</v>
      </c>
    </row>
    <row r="10" spans="1:21" ht="12.75">
      <c r="A10" s="1" t="s">
        <v>12</v>
      </c>
      <c r="B10">
        <v>5</v>
      </c>
      <c r="U10" t="s">
        <v>145</v>
      </c>
    </row>
    <row r="11" spans="1:23" ht="12.75">
      <c r="A11" s="2"/>
      <c r="U11" t="b">
        <v>0</v>
      </c>
      <c r="V11">
        <f>19*N(U11)+1</f>
        <v>1</v>
      </c>
      <c r="W11">
        <f>4*N(U11)+1</f>
        <v>1</v>
      </c>
    </row>
    <row r="12" spans="20:26" ht="12.75">
      <c r="T12" s="329" t="s">
        <v>145</v>
      </c>
      <c r="U12" s="329"/>
      <c r="V12" s="329"/>
      <c r="X12" s="329" t="s">
        <v>145</v>
      </c>
      <c r="Y12" s="329"/>
      <c r="Z12" s="329"/>
    </row>
    <row r="13" spans="1:33" ht="30" customHeight="1">
      <c r="A13" s="6" t="s">
        <v>2</v>
      </c>
      <c r="B13" s="7"/>
      <c r="C13" s="10" t="s">
        <v>14</v>
      </c>
      <c r="D13" s="46" t="s">
        <v>3</v>
      </c>
      <c r="E13" s="45" t="s">
        <v>4</v>
      </c>
      <c r="F13" s="45" t="s">
        <v>66</v>
      </c>
      <c r="G13" s="9" t="s">
        <v>13</v>
      </c>
      <c r="H13" s="3" t="s">
        <v>15</v>
      </c>
      <c r="I13" s="44" t="s">
        <v>18</v>
      </c>
      <c r="J13" s="3" t="s">
        <v>19</v>
      </c>
      <c r="K13" s="44" t="s">
        <v>20</v>
      </c>
      <c r="L13" s="3" t="s">
        <v>21</v>
      </c>
      <c r="M13" s="3" t="s">
        <v>23</v>
      </c>
      <c r="N13" s="3" t="s">
        <v>24</v>
      </c>
      <c r="P13" s="44" t="s">
        <v>107</v>
      </c>
      <c r="Q13" s="44" t="s">
        <v>108</v>
      </c>
      <c r="T13" s="44" t="s">
        <v>107</v>
      </c>
      <c r="U13" s="44" t="s">
        <v>108</v>
      </c>
      <c r="X13" s="45" t="s">
        <v>4</v>
      </c>
      <c r="Y13" s="45" t="s">
        <v>66</v>
      </c>
      <c r="Z13" s="3" t="s">
        <v>13</v>
      </c>
      <c r="AA13" s="3" t="s">
        <v>15</v>
      </c>
      <c r="AB13" s="44" t="s">
        <v>18</v>
      </c>
      <c r="AC13" s="3" t="s">
        <v>19</v>
      </c>
      <c r="AD13" s="44" t="s">
        <v>20</v>
      </c>
      <c r="AE13" s="3" t="s">
        <v>21</v>
      </c>
      <c r="AF13" s="3" t="s">
        <v>23</v>
      </c>
      <c r="AG13" s="3" t="s">
        <v>24</v>
      </c>
    </row>
    <row r="14" spans="1:33" ht="12.75">
      <c r="A14" s="6" t="s">
        <v>6</v>
      </c>
      <c r="B14" s="7"/>
      <c r="C14" s="13">
        <f>'Výber radiátora'!I11</f>
        <v>65</v>
      </c>
      <c r="D14" s="12">
        <v>300</v>
      </c>
      <c r="E14" s="12">
        <v>1.2912</v>
      </c>
      <c r="F14" s="12">
        <v>3.4889</v>
      </c>
      <c r="G14" s="11">
        <f>IF($E$7&lt;0.7,F14*$E$9^E14,F14*$E$8^E14)</f>
        <v>408.57179492926684</v>
      </c>
      <c r="H14">
        <f>$I$7/výber!G14</f>
        <v>2.447550252883029</v>
      </c>
      <c r="I14">
        <f aca="true" t="shared" si="0" ref="I14:I19">FLOOR((H14*1000),100)</f>
        <v>2400</v>
      </c>
      <c r="J14" s="2">
        <f aca="true" t="shared" si="1" ref="J14:J19">ROUNDUP(G14*I14/1000,0)</f>
        <v>981</v>
      </c>
      <c r="K14">
        <f aca="true" t="shared" si="2" ref="K14:K19">CEILING((H14*1000),100)</f>
        <v>2500</v>
      </c>
      <c r="L14" s="2">
        <f aca="true" t="shared" si="3" ref="L14:L19">ROUNDUP(G14*K14/1000,0)</f>
        <v>1022</v>
      </c>
      <c r="M14" t="b">
        <f aca="true" t="shared" si="4" ref="M14:M19">OR(I14&lt;400,I14&gt;2000)</f>
        <v>1</v>
      </c>
      <c r="N14" t="b">
        <f aca="true" t="shared" si="5" ref="N14:N19">OR(K14&lt;400,K14&gt;2000)</f>
        <v>1</v>
      </c>
      <c r="P14">
        <f>IF(ABS($I$7-J14)&lt;ABS($I$7-L14),J14,L14)</f>
        <v>981</v>
      </c>
      <c r="Q14">
        <f>IF(ABS($I$7-J14)&lt;ABS($I$7-L14),I14,K14)</f>
        <v>2400</v>
      </c>
      <c r="R14" t="b">
        <f aca="true" t="shared" si="6" ref="R14:R19">OR(Q14&lt;400,Q14&gt;2000)</f>
        <v>1</v>
      </c>
      <c r="T14">
        <f aca="true" t="shared" si="7" ref="T14:T19">IF(ABS($I$7-AC14)&lt;ABS($I$7-AE14),AC14,AE14)</f>
        <v>989</v>
      </c>
      <c r="U14">
        <f aca="true" t="shared" si="8" ref="U14:U19">IF(ABS($I$7-AC14)&lt;ABS($I$7-AE14),AB14,AD14)</f>
        <v>2600</v>
      </c>
      <c r="V14" t="b">
        <f>OR(U14&lt;400,U14&gt;2000)</f>
        <v>1</v>
      </c>
      <c r="X14" s="86">
        <v>1.279</v>
      </c>
      <c r="Y14" s="12">
        <v>3.39756583841796</v>
      </c>
      <c r="Z14" s="11">
        <f>IF($E$7&lt;0.7,Y14*$E$9^X14,Y14*$E$8^X14)</f>
        <v>380.36680640734534</v>
      </c>
      <c r="AA14">
        <f>$I$7/výber!Z14</f>
        <v>2.629041186441154</v>
      </c>
      <c r="AB14">
        <f>FLOOR((AA14*1000),100)</f>
        <v>2600</v>
      </c>
      <c r="AC14" s="2">
        <f>ROUNDUP(Z14*AB14/1000,0)</f>
        <v>989</v>
      </c>
      <c r="AD14">
        <f>CEILING((AA14*1000),100)</f>
        <v>2700</v>
      </c>
      <c r="AE14" s="2">
        <f>ROUNDUP(Z14*AD14/1000,0)</f>
        <v>1027</v>
      </c>
      <c r="AF14" t="b">
        <f>OR(AB14&lt;400,AB14&gt;2000)</f>
        <v>1</v>
      </c>
      <c r="AG14" t="b">
        <f>OR(AD14&lt;400,AD14&gt;2000)</f>
        <v>1</v>
      </c>
    </row>
    <row r="15" spans="1:33" ht="12.75">
      <c r="A15" s="6" t="s">
        <v>7</v>
      </c>
      <c r="B15" s="7"/>
      <c r="C15" s="13">
        <f>'Výber radiátora'!I13</f>
        <v>55</v>
      </c>
      <c r="D15" s="12">
        <v>400</v>
      </c>
      <c r="E15" s="12">
        <v>1.2953</v>
      </c>
      <c r="F15" s="12">
        <v>4.3405</v>
      </c>
      <c r="G15" s="11">
        <f>IF($E$7&lt;0.7,F15*$E$9^E15,F15*$E$8^E15)</f>
        <v>516.045585598976</v>
      </c>
      <c r="H15">
        <f>$I$7/výber!G15</f>
        <v>1.9378133015890375</v>
      </c>
      <c r="I15">
        <f t="shared" si="0"/>
        <v>1900</v>
      </c>
      <c r="J15" s="2">
        <f t="shared" si="1"/>
        <v>981</v>
      </c>
      <c r="K15">
        <f t="shared" si="2"/>
        <v>2000</v>
      </c>
      <c r="L15" s="2">
        <f t="shared" si="3"/>
        <v>1033</v>
      </c>
      <c r="M15" t="b">
        <f t="shared" si="4"/>
        <v>0</v>
      </c>
      <c r="N15" t="b">
        <f t="shared" si="5"/>
        <v>0</v>
      </c>
      <c r="P15">
        <f aca="true" t="shared" si="9" ref="P15:P28">IF(ABS($I$7-J15)&lt;ABS($I$7-L15),J15,L15)</f>
        <v>981</v>
      </c>
      <c r="Q15">
        <f aca="true" t="shared" si="10" ref="Q15:Q28">IF(ABS($I$7-J15)&lt;ABS($I$7-L15),I15,K15)</f>
        <v>1900</v>
      </c>
      <c r="R15" t="b">
        <f t="shared" si="6"/>
        <v>0</v>
      </c>
      <c r="T15">
        <f t="shared" si="7"/>
        <v>985</v>
      </c>
      <c r="U15">
        <f t="shared" si="8"/>
        <v>2100</v>
      </c>
      <c r="V15" t="b">
        <f aca="true" t="shared" si="11" ref="V15:V68">OR(U15&lt;400,U15&gt;2000)</f>
        <v>1</v>
      </c>
      <c r="X15" s="86">
        <v>1.2797</v>
      </c>
      <c r="Y15" s="12">
        <v>4.178425614435479</v>
      </c>
      <c r="Z15" s="11">
        <f aca="true" t="shared" si="12" ref="Z15:Z68">IF($E$7&lt;0.7,Y15*$E$9^X15,Y15*$E$8^X15)</f>
        <v>468.9956839565398</v>
      </c>
      <c r="AA15">
        <f>$I$7/výber!Z15</f>
        <v>2.132215784085268</v>
      </c>
      <c r="AB15">
        <f aca="true" t="shared" si="13" ref="AB15:AB68">FLOOR((AA15*1000),100)</f>
        <v>2100</v>
      </c>
      <c r="AC15" s="2">
        <f aca="true" t="shared" si="14" ref="AC15:AC61">ROUNDUP(Z15*AB15/1000,0)</f>
        <v>985</v>
      </c>
      <c r="AD15">
        <f aca="true" t="shared" si="15" ref="AD15:AD61">CEILING((AA15*1000),100)</f>
        <v>2200</v>
      </c>
      <c r="AE15" s="2">
        <f aca="true" t="shared" si="16" ref="AE15:AE61">ROUNDUP(Z15*AD15/1000,0)</f>
        <v>1032</v>
      </c>
      <c r="AF15" t="b">
        <f aca="true" t="shared" si="17" ref="AF15:AF61">OR(AB15&lt;400,AB15&gt;2000)</f>
        <v>1</v>
      </c>
      <c r="AG15" t="b">
        <f aca="true" t="shared" si="18" ref="AG15:AG61">OR(AD15&lt;400,AD15&gt;2000)</f>
        <v>1</v>
      </c>
    </row>
    <row r="16" spans="1:33" ht="12.75">
      <c r="A16" s="6" t="s">
        <v>8</v>
      </c>
      <c r="B16" s="7"/>
      <c r="C16" s="13">
        <f>'Výber radiátora'!I9</f>
        <v>20</v>
      </c>
      <c r="D16" s="12">
        <v>500</v>
      </c>
      <c r="E16" s="12">
        <v>1.2994</v>
      </c>
      <c r="F16" s="12">
        <v>5.1208</v>
      </c>
      <c r="G16" s="11">
        <f>IF($E$7&lt;0.7,F16*$E$9^E16,F16*$E$8^E16)</f>
        <v>618.0940556719258</v>
      </c>
      <c r="H16">
        <f>$I$7/výber!G16</f>
        <v>1.6178767467888149</v>
      </c>
      <c r="I16">
        <f t="shared" si="0"/>
        <v>1600</v>
      </c>
      <c r="J16" s="2">
        <f t="shared" si="1"/>
        <v>989</v>
      </c>
      <c r="K16">
        <f t="shared" si="2"/>
        <v>1700</v>
      </c>
      <c r="L16" s="2">
        <f t="shared" si="3"/>
        <v>1051</v>
      </c>
      <c r="M16" t="b">
        <f t="shared" si="4"/>
        <v>0</v>
      </c>
      <c r="N16" t="b">
        <f t="shared" si="5"/>
        <v>0</v>
      </c>
      <c r="P16">
        <f t="shared" si="9"/>
        <v>989</v>
      </c>
      <c r="Q16">
        <f t="shared" si="10"/>
        <v>1600</v>
      </c>
      <c r="R16" t="b">
        <f t="shared" si="6"/>
        <v>0</v>
      </c>
      <c r="T16">
        <f t="shared" si="7"/>
        <v>1003</v>
      </c>
      <c r="U16">
        <f t="shared" si="8"/>
        <v>1800</v>
      </c>
      <c r="V16" t="b">
        <f t="shared" si="11"/>
        <v>0</v>
      </c>
      <c r="X16" s="86">
        <v>1.2804</v>
      </c>
      <c r="Y16" s="12">
        <v>4.948311311311136</v>
      </c>
      <c r="Z16" s="11">
        <f t="shared" si="12"/>
        <v>556.8453883846677</v>
      </c>
      <c r="AA16">
        <f>$I$7/výber!Z16</f>
        <v>1.7958306216755484</v>
      </c>
      <c r="AB16">
        <f t="shared" si="13"/>
        <v>1700</v>
      </c>
      <c r="AC16" s="2">
        <f t="shared" si="14"/>
        <v>947</v>
      </c>
      <c r="AD16">
        <f t="shared" si="15"/>
        <v>1800</v>
      </c>
      <c r="AE16" s="2">
        <f t="shared" si="16"/>
        <v>1003</v>
      </c>
      <c r="AF16" t="b">
        <f t="shared" si="17"/>
        <v>0</v>
      </c>
      <c r="AG16" t="b">
        <f t="shared" si="18"/>
        <v>0</v>
      </c>
    </row>
    <row r="17" spans="1:33" ht="12.75">
      <c r="A17" s="6"/>
      <c r="B17" s="7"/>
      <c r="C17" s="13"/>
      <c r="D17" s="12">
        <v>550</v>
      </c>
      <c r="E17" s="12">
        <v>1</v>
      </c>
      <c r="F17" s="12">
        <v>1</v>
      </c>
      <c r="G17" s="11">
        <v>1</v>
      </c>
      <c r="H17">
        <f>$I$7/výber!G17</f>
        <v>1000</v>
      </c>
      <c r="I17">
        <f t="shared" si="0"/>
        <v>1000000</v>
      </c>
      <c r="J17" s="2">
        <f t="shared" si="1"/>
        <v>1000</v>
      </c>
      <c r="K17">
        <f t="shared" si="2"/>
        <v>1000000</v>
      </c>
      <c r="L17" s="2">
        <f t="shared" si="3"/>
        <v>1000</v>
      </c>
      <c r="M17" t="b">
        <f t="shared" si="4"/>
        <v>1</v>
      </c>
      <c r="N17" t="b">
        <f t="shared" si="5"/>
        <v>1</v>
      </c>
      <c r="P17">
        <f>IF(ABS($I$7-J17)&lt;ABS($I$7-L17),J17,L17)</f>
        <v>1000</v>
      </c>
      <c r="Q17">
        <f>IF(ABS($I$7-J17)&lt;ABS($I$7-L17),I17,K17)</f>
        <v>1000000</v>
      </c>
      <c r="R17" t="b">
        <f t="shared" si="6"/>
        <v>1</v>
      </c>
      <c r="T17">
        <f t="shared" si="7"/>
        <v>1000</v>
      </c>
      <c r="U17">
        <f t="shared" si="8"/>
        <v>1000000</v>
      </c>
      <c r="V17" t="b">
        <f t="shared" si="11"/>
        <v>1</v>
      </c>
      <c r="X17" s="86">
        <v>1</v>
      </c>
      <c r="Y17" s="12"/>
      <c r="Z17" s="11">
        <v>1</v>
      </c>
      <c r="AA17">
        <f>$I$7/výber!Z17</f>
        <v>1000</v>
      </c>
      <c r="AB17">
        <f t="shared" si="13"/>
        <v>1000000</v>
      </c>
      <c r="AC17" s="2">
        <f>ROUNDUP(Z17*AB17/1000,0)</f>
        <v>1000</v>
      </c>
      <c r="AD17">
        <f>CEILING((AA17*1000),100)</f>
        <v>1000000</v>
      </c>
      <c r="AE17" s="2">
        <f>ROUNDUP(Z17*AD17/1000,0)</f>
        <v>1000</v>
      </c>
      <c r="AF17" t="b">
        <f>OR(AB17&lt;400,AB17&gt;2000)</f>
        <v>1</v>
      </c>
      <c r="AG17" t="b">
        <f>OR(AD17&lt;400,AD17&gt;2000)</f>
        <v>1</v>
      </c>
    </row>
    <row r="18" spans="1:33" ht="12.75">
      <c r="A18" s="7"/>
      <c r="B18" s="7"/>
      <c r="C18" s="7"/>
      <c r="D18" s="12">
        <v>600</v>
      </c>
      <c r="E18" s="12">
        <v>1.3035</v>
      </c>
      <c r="F18" s="12">
        <v>5.8568</v>
      </c>
      <c r="G18" s="11">
        <f>IF($E$7&lt;0.7,F18*$E$9^E18,F18*$E$8^E18)</f>
        <v>717.7043732119005</v>
      </c>
      <c r="H18">
        <f>$I$7/výber!G18</f>
        <v>1.3933313455019904</v>
      </c>
      <c r="I18">
        <f t="shared" si="0"/>
        <v>1300</v>
      </c>
      <c r="J18" s="2">
        <f t="shared" si="1"/>
        <v>934</v>
      </c>
      <c r="K18">
        <f t="shared" si="2"/>
        <v>1400</v>
      </c>
      <c r="L18" s="2">
        <f t="shared" si="3"/>
        <v>1005</v>
      </c>
      <c r="M18" t="b">
        <f t="shared" si="4"/>
        <v>0</v>
      </c>
      <c r="N18" t="b">
        <f t="shared" si="5"/>
        <v>0</v>
      </c>
      <c r="P18">
        <f t="shared" si="9"/>
        <v>1005</v>
      </c>
      <c r="Q18">
        <f t="shared" si="10"/>
        <v>1400</v>
      </c>
      <c r="R18" t="b">
        <f t="shared" si="6"/>
        <v>0</v>
      </c>
      <c r="T18">
        <f t="shared" si="7"/>
        <v>970</v>
      </c>
      <c r="U18">
        <f t="shared" si="8"/>
        <v>1500</v>
      </c>
      <c r="V18" t="b">
        <f t="shared" si="11"/>
        <v>0</v>
      </c>
      <c r="X18" s="86">
        <v>1.2811</v>
      </c>
      <c r="Y18" s="12">
        <v>5.727274235838817</v>
      </c>
      <c r="Z18" s="11">
        <f t="shared" si="12"/>
        <v>646.1703609516617</v>
      </c>
      <c r="AA18">
        <f>$I$7/výber!Z18</f>
        <v>1.547579493629556</v>
      </c>
      <c r="AB18">
        <f t="shared" si="13"/>
        <v>1500</v>
      </c>
      <c r="AC18" s="2">
        <f t="shared" si="14"/>
        <v>970</v>
      </c>
      <c r="AD18">
        <f t="shared" si="15"/>
        <v>1600</v>
      </c>
      <c r="AE18" s="2">
        <f t="shared" si="16"/>
        <v>1034</v>
      </c>
      <c r="AF18" t="b">
        <f t="shared" si="17"/>
        <v>0</v>
      </c>
      <c r="AG18" t="b">
        <f t="shared" si="18"/>
        <v>0</v>
      </c>
    </row>
    <row r="19" spans="1:33" ht="12.75" customHeight="1">
      <c r="A19" s="8"/>
      <c r="B19" s="7"/>
      <c r="C19" s="7"/>
      <c r="D19" s="12">
        <v>900</v>
      </c>
      <c r="E19" s="12">
        <v>1.3237</v>
      </c>
      <c r="F19" s="12">
        <v>7.5822</v>
      </c>
      <c r="G19" s="11">
        <f>IF($E$7&lt;0.7,F19*$E$9^E19,F19*$E$8^E19)</f>
        <v>1001.0183676235704</v>
      </c>
      <c r="H19">
        <f>$I$7/výber!G19</f>
        <v>0.9989826683939996</v>
      </c>
      <c r="I19">
        <f t="shared" si="0"/>
        <v>900</v>
      </c>
      <c r="J19" s="2">
        <f t="shared" si="1"/>
        <v>901</v>
      </c>
      <c r="K19">
        <f t="shared" si="2"/>
        <v>1000</v>
      </c>
      <c r="L19" s="2">
        <f t="shared" si="3"/>
        <v>1002</v>
      </c>
      <c r="M19" t="b">
        <f t="shared" si="4"/>
        <v>0</v>
      </c>
      <c r="N19" t="b">
        <f t="shared" si="5"/>
        <v>0</v>
      </c>
      <c r="P19">
        <f t="shared" si="9"/>
        <v>1002</v>
      </c>
      <c r="Q19">
        <f t="shared" si="10"/>
        <v>1000</v>
      </c>
      <c r="R19" t="b">
        <f t="shared" si="6"/>
        <v>0</v>
      </c>
      <c r="T19">
        <f t="shared" si="7"/>
        <v>1025</v>
      </c>
      <c r="U19">
        <f t="shared" si="8"/>
        <v>1100</v>
      </c>
      <c r="V19" t="b">
        <f t="shared" si="11"/>
        <v>0</v>
      </c>
      <c r="X19" s="86">
        <v>1.2732</v>
      </c>
      <c r="Y19" s="12">
        <v>8.49652011879567</v>
      </c>
      <c r="Z19" s="11">
        <f t="shared" si="12"/>
        <v>931.073296402112</v>
      </c>
      <c r="AA19">
        <f>$I$7/výber!Z19</f>
        <v>1.0740292991585487</v>
      </c>
      <c r="AB19">
        <f t="shared" si="13"/>
        <v>1000</v>
      </c>
      <c r="AC19" s="2">
        <f t="shared" si="14"/>
        <v>932</v>
      </c>
      <c r="AD19">
        <f t="shared" si="15"/>
        <v>1100</v>
      </c>
      <c r="AE19" s="2">
        <f t="shared" si="16"/>
        <v>1025</v>
      </c>
      <c r="AF19" t="b">
        <f t="shared" si="17"/>
        <v>0</v>
      </c>
      <c r="AG19" t="b">
        <f t="shared" si="18"/>
        <v>0</v>
      </c>
    </row>
    <row r="20" spans="1:31" ht="12.75">
      <c r="A20" s="6" t="s">
        <v>5</v>
      </c>
      <c r="B20" s="7"/>
      <c r="C20" s="10"/>
      <c r="Z20" s="11"/>
      <c r="AC20" s="2"/>
      <c r="AE20" s="2"/>
    </row>
    <row r="21" spans="1:33" ht="12.75">
      <c r="A21" s="6" t="s">
        <v>6</v>
      </c>
      <c r="B21" s="7"/>
      <c r="C21" s="13">
        <f>'Výber radiátora'!$I$11</f>
        <v>65</v>
      </c>
      <c r="D21" s="12">
        <v>300</v>
      </c>
      <c r="E21" s="12">
        <v>1.3239</v>
      </c>
      <c r="F21" s="12">
        <v>4.236</v>
      </c>
      <c r="G21" s="11">
        <f aca="true" t="shared" si="19" ref="G21:G26">IF($E$7&lt;0.7,F21*$E$9^E21,F21*$E$8^E21)</f>
        <v>559.6585899688567</v>
      </c>
      <c r="H21">
        <f>$I$7/výber!G21</f>
        <v>1.7868036297908818</v>
      </c>
      <c r="I21">
        <f aca="true" t="shared" si="20" ref="I21:I26">FLOOR(H21*1000,100)</f>
        <v>1700</v>
      </c>
      <c r="J21" s="2">
        <f aca="true" t="shared" si="21" ref="J21:J26">ROUNDUP(G21*I21/1000,0)</f>
        <v>952</v>
      </c>
      <c r="K21">
        <f aca="true" t="shared" si="22" ref="K21:K26">CEILING((H21*1000),100)</f>
        <v>1800</v>
      </c>
      <c r="L21" s="2">
        <f aca="true" t="shared" si="23" ref="L21:L26">ROUNDUP(G21*K21/1000,0)</f>
        <v>1008</v>
      </c>
      <c r="M21" t="b">
        <f aca="true" t="shared" si="24" ref="M21:M26">OR(I21&lt;400,I21&gt;3000)</f>
        <v>0</v>
      </c>
      <c r="N21" t="b">
        <f aca="true" t="shared" si="25" ref="N21:N26">OR(K21&lt;400,K21&gt;3000)</f>
        <v>0</v>
      </c>
      <c r="P21">
        <f>IF(ABS($I$7-J21)&lt;ABS($I$7-L21),J21,L21)</f>
        <v>1008</v>
      </c>
      <c r="Q21">
        <f t="shared" si="10"/>
        <v>1800</v>
      </c>
      <c r="R21" t="b">
        <f aca="true" t="shared" si="26" ref="R21:R26">OR(Q21&lt;400,Q21&gt;3000)</f>
        <v>0</v>
      </c>
      <c r="T21">
        <f aca="true" t="shared" si="27" ref="T21:T26">IF(ABS($I$7-AC21)&lt;ABS($I$7-AE21),AC21,AE21)</f>
        <v>990</v>
      </c>
      <c r="U21">
        <f aca="true" t="shared" si="28" ref="U21:U26">IF(ABS($I$7-AC21)&lt;ABS($I$7-AE21),AB21,AD21)</f>
        <v>1900</v>
      </c>
      <c r="V21" t="b">
        <f t="shared" si="11"/>
        <v>0</v>
      </c>
      <c r="X21" s="12">
        <v>1.3015</v>
      </c>
      <c r="Y21" s="12">
        <v>4.283148279989495</v>
      </c>
      <c r="Z21" s="11">
        <f t="shared" si="12"/>
        <v>521.0077558723714</v>
      </c>
      <c r="AA21">
        <f>$I$7/výber!Z21</f>
        <v>1.9193572240121601</v>
      </c>
      <c r="AB21">
        <f t="shared" si="13"/>
        <v>1900</v>
      </c>
      <c r="AC21" s="2">
        <f t="shared" si="14"/>
        <v>990</v>
      </c>
      <c r="AD21">
        <f t="shared" si="15"/>
        <v>2000</v>
      </c>
      <c r="AE21" s="2">
        <f t="shared" si="16"/>
        <v>1043</v>
      </c>
      <c r="AF21" t="b">
        <f t="shared" si="17"/>
        <v>0</v>
      </c>
      <c r="AG21" t="b">
        <f t="shared" si="18"/>
        <v>0</v>
      </c>
    </row>
    <row r="22" spans="1:33" ht="12.75">
      <c r="A22" s="6" t="s">
        <v>7</v>
      </c>
      <c r="B22" s="7"/>
      <c r="C22" s="13">
        <f>'Výber radiátora'!$I$13</f>
        <v>55</v>
      </c>
      <c r="D22" s="12">
        <v>400</v>
      </c>
      <c r="E22" s="12">
        <v>1.3338</v>
      </c>
      <c r="F22" s="12">
        <v>5.0775</v>
      </c>
      <c r="G22" s="11">
        <f t="shared" si="19"/>
        <v>695.788983939279</v>
      </c>
      <c r="H22">
        <f>$I$7/výber!G22</f>
        <v>1.4372173504938235</v>
      </c>
      <c r="I22">
        <f t="shared" si="20"/>
        <v>1400</v>
      </c>
      <c r="J22" s="2">
        <f t="shared" si="21"/>
        <v>975</v>
      </c>
      <c r="K22">
        <f t="shared" si="22"/>
        <v>1500</v>
      </c>
      <c r="L22" s="2">
        <f t="shared" si="23"/>
        <v>1044</v>
      </c>
      <c r="M22" t="b">
        <f t="shared" si="24"/>
        <v>0</v>
      </c>
      <c r="N22" t="b">
        <f t="shared" si="25"/>
        <v>0</v>
      </c>
      <c r="P22">
        <f t="shared" si="9"/>
        <v>975</v>
      </c>
      <c r="Q22">
        <f t="shared" si="10"/>
        <v>1400</v>
      </c>
      <c r="R22" t="b">
        <f t="shared" si="26"/>
        <v>0</v>
      </c>
      <c r="T22">
        <f t="shared" si="27"/>
        <v>1022</v>
      </c>
      <c r="U22">
        <f t="shared" si="28"/>
        <v>1600</v>
      </c>
      <c r="V22" t="b">
        <f t="shared" si="11"/>
        <v>0</v>
      </c>
      <c r="X22" s="12">
        <v>1.3114</v>
      </c>
      <c r="Y22" s="12">
        <v>5.058668584194209</v>
      </c>
      <c r="Z22" s="11">
        <f t="shared" si="12"/>
        <v>638.2307143076281</v>
      </c>
      <c r="AA22">
        <f>$I$7/výber!Z22</f>
        <v>1.5668315196720517</v>
      </c>
      <c r="AB22">
        <f t="shared" si="13"/>
        <v>1500</v>
      </c>
      <c r="AC22" s="2">
        <f t="shared" si="14"/>
        <v>958</v>
      </c>
      <c r="AD22">
        <f t="shared" si="15"/>
        <v>1600</v>
      </c>
      <c r="AE22" s="2">
        <f t="shared" si="16"/>
        <v>1022</v>
      </c>
      <c r="AF22" t="b">
        <f t="shared" si="17"/>
        <v>0</v>
      </c>
      <c r="AG22" t="b">
        <f t="shared" si="18"/>
        <v>0</v>
      </c>
    </row>
    <row r="23" spans="1:33" ht="12.75">
      <c r="A23" s="6" t="s">
        <v>8</v>
      </c>
      <c r="B23" s="7"/>
      <c r="C23" s="13">
        <f>'Výber radiátora'!$I$9</f>
        <v>20</v>
      </c>
      <c r="D23" s="12">
        <v>500</v>
      </c>
      <c r="E23" s="12">
        <v>1.3437</v>
      </c>
      <c r="F23" s="12">
        <v>5.8126</v>
      </c>
      <c r="G23" s="11">
        <f t="shared" si="19"/>
        <v>826.1491263158177</v>
      </c>
      <c r="H23">
        <f>$I$7/výber!G23</f>
        <v>1.2104352206477105</v>
      </c>
      <c r="I23">
        <f t="shared" si="20"/>
        <v>1200</v>
      </c>
      <c r="J23" s="2">
        <f t="shared" si="21"/>
        <v>992</v>
      </c>
      <c r="K23">
        <f t="shared" si="22"/>
        <v>1300</v>
      </c>
      <c r="L23" s="2">
        <f t="shared" si="23"/>
        <v>1074</v>
      </c>
      <c r="M23" t="b">
        <f t="shared" si="24"/>
        <v>0</v>
      </c>
      <c r="N23" t="b">
        <f t="shared" si="25"/>
        <v>0</v>
      </c>
      <c r="P23">
        <f t="shared" si="9"/>
        <v>992</v>
      </c>
      <c r="Q23">
        <f t="shared" si="10"/>
        <v>1200</v>
      </c>
      <c r="R23" t="b">
        <f t="shared" si="26"/>
        <v>0</v>
      </c>
      <c r="T23">
        <f t="shared" si="27"/>
        <v>974</v>
      </c>
      <c r="U23">
        <f t="shared" si="28"/>
        <v>1300</v>
      </c>
      <c r="V23" t="b">
        <f t="shared" si="11"/>
        <v>0</v>
      </c>
      <c r="X23" s="12">
        <v>1.3213</v>
      </c>
      <c r="Y23" s="12">
        <v>5.725040294232952</v>
      </c>
      <c r="Z23" s="11">
        <f t="shared" si="12"/>
        <v>749.1700624615025</v>
      </c>
      <c r="AA23">
        <f>$I$7/výber!Z23</f>
        <v>1.3348104123573235</v>
      </c>
      <c r="AB23">
        <f t="shared" si="13"/>
        <v>1300</v>
      </c>
      <c r="AC23" s="2">
        <f t="shared" si="14"/>
        <v>974</v>
      </c>
      <c r="AD23">
        <f t="shared" si="15"/>
        <v>1400</v>
      </c>
      <c r="AE23" s="2">
        <f t="shared" si="16"/>
        <v>1049</v>
      </c>
      <c r="AF23" t="b">
        <f t="shared" si="17"/>
        <v>0</v>
      </c>
      <c r="AG23" t="b">
        <f t="shared" si="18"/>
        <v>0</v>
      </c>
    </row>
    <row r="24" spans="1:33" ht="12.75">
      <c r="A24" s="6"/>
      <c r="B24" s="7"/>
      <c r="C24" s="13"/>
      <c r="D24" s="12">
        <v>550</v>
      </c>
      <c r="E24" s="86">
        <v>1.3413</v>
      </c>
      <c r="F24" s="86">
        <v>6.357767124586206</v>
      </c>
      <c r="G24" s="11">
        <f t="shared" si="19"/>
        <v>895.6692878608477</v>
      </c>
      <c r="H24">
        <f>$I$7/výber!G24</f>
        <v>1.1164835208186363</v>
      </c>
      <c r="I24">
        <f t="shared" si="20"/>
        <v>1100</v>
      </c>
      <c r="J24" s="2">
        <f t="shared" si="21"/>
        <v>986</v>
      </c>
      <c r="K24">
        <f t="shared" si="22"/>
        <v>1200</v>
      </c>
      <c r="L24" s="2">
        <f t="shared" si="23"/>
        <v>1075</v>
      </c>
      <c r="M24" t="b">
        <f t="shared" si="24"/>
        <v>0</v>
      </c>
      <c r="N24" t="b">
        <f t="shared" si="25"/>
        <v>0</v>
      </c>
      <c r="P24">
        <f>IF(ABS($I$7-J24)&lt;ABS($I$7-L24),J24,L24)</f>
        <v>986</v>
      </c>
      <c r="Q24">
        <f>IF(ABS($I$7-J24)&lt;ABS($I$7-L24),I24,K24)</f>
        <v>1100</v>
      </c>
      <c r="R24" t="b">
        <f t="shared" si="26"/>
        <v>0</v>
      </c>
      <c r="T24">
        <f t="shared" si="27"/>
        <v>969</v>
      </c>
      <c r="U24">
        <f t="shared" si="28"/>
        <v>1200</v>
      </c>
      <c r="V24" t="b">
        <f t="shared" si="11"/>
        <v>0</v>
      </c>
      <c r="X24" s="12">
        <v>1.3266</v>
      </c>
      <c r="Y24" s="12">
        <v>6.049593800703611</v>
      </c>
      <c r="Z24" s="11">
        <f t="shared" si="12"/>
        <v>807.2703458611439</v>
      </c>
      <c r="AA24">
        <f>$I$7/výber!Z24</f>
        <v>1.2387423929628736</v>
      </c>
      <c r="AB24">
        <f t="shared" si="13"/>
        <v>1200</v>
      </c>
      <c r="AC24" s="2">
        <f>ROUNDUP(Z24*AB24/1000,0)</f>
        <v>969</v>
      </c>
      <c r="AD24">
        <f>CEILING((AA24*1000),100)</f>
        <v>1300</v>
      </c>
      <c r="AE24" s="2">
        <f>ROUNDUP(Z24*AD24/1000,0)</f>
        <v>1050</v>
      </c>
      <c r="AF24" t="b">
        <f>OR(AB24&lt;400,AB24&gt;2000)</f>
        <v>0</v>
      </c>
      <c r="AG24" t="b">
        <f>OR(AD24&lt;400,AD24&gt;2000)</f>
        <v>0</v>
      </c>
    </row>
    <row r="25" spans="4:33" ht="12.75">
      <c r="D25" s="12">
        <v>600</v>
      </c>
      <c r="E25" s="12">
        <v>1.3536</v>
      </c>
      <c r="F25" s="12">
        <v>6.4543</v>
      </c>
      <c r="G25" s="11">
        <f t="shared" si="19"/>
        <v>951.4753733133522</v>
      </c>
      <c r="H25">
        <f>$I$7/výber!G25</f>
        <v>1.0509993511630984</v>
      </c>
      <c r="I25">
        <f t="shared" si="20"/>
        <v>1000</v>
      </c>
      <c r="J25" s="2">
        <f t="shared" si="21"/>
        <v>952</v>
      </c>
      <c r="K25">
        <f t="shared" si="22"/>
        <v>1100</v>
      </c>
      <c r="L25" s="2">
        <f t="shared" si="23"/>
        <v>1047</v>
      </c>
      <c r="M25" t="b">
        <f t="shared" si="24"/>
        <v>0</v>
      </c>
      <c r="N25" t="b">
        <f t="shared" si="25"/>
        <v>0</v>
      </c>
      <c r="P25">
        <f t="shared" si="9"/>
        <v>1047</v>
      </c>
      <c r="Q25">
        <f t="shared" si="10"/>
        <v>1100</v>
      </c>
      <c r="R25" t="b">
        <f t="shared" si="26"/>
        <v>0</v>
      </c>
      <c r="T25">
        <f t="shared" si="27"/>
        <v>1028</v>
      </c>
      <c r="U25">
        <f t="shared" si="28"/>
        <v>1200</v>
      </c>
      <c r="V25" t="b">
        <f t="shared" si="11"/>
        <v>0</v>
      </c>
      <c r="X25" s="12">
        <v>1.3312</v>
      </c>
      <c r="Y25" s="12">
        <v>6.3066646943945</v>
      </c>
      <c r="Z25" s="11">
        <f t="shared" si="12"/>
        <v>855.9768158982152</v>
      </c>
      <c r="AA25">
        <f>$I$7/výber!Z25</f>
        <v>1.1682559403792434</v>
      </c>
      <c r="AB25">
        <f t="shared" si="13"/>
        <v>1100</v>
      </c>
      <c r="AC25" s="2">
        <f t="shared" si="14"/>
        <v>942</v>
      </c>
      <c r="AD25">
        <f t="shared" si="15"/>
        <v>1200</v>
      </c>
      <c r="AE25" s="2">
        <f t="shared" si="16"/>
        <v>1028</v>
      </c>
      <c r="AF25" t="b">
        <f t="shared" si="17"/>
        <v>0</v>
      </c>
      <c r="AG25" t="b">
        <f t="shared" si="18"/>
        <v>0</v>
      </c>
    </row>
    <row r="26" spans="4:33" ht="12.75">
      <c r="D26" s="12">
        <v>900</v>
      </c>
      <c r="E26" s="12">
        <v>1.3507</v>
      </c>
      <c r="F26" s="12">
        <v>9.0692</v>
      </c>
      <c r="G26" s="11">
        <f t="shared" si="19"/>
        <v>1322.7306274863724</v>
      </c>
      <c r="H26">
        <f>$I$7/výber!G26</f>
        <v>0.7560118282740094</v>
      </c>
      <c r="I26">
        <f t="shared" si="20"/>
        <v>700</v>
      </c>
      <c r="J26" s="2">
        <f t="shared" si="21"/>
        <v>926</v>
      </c>
      <c r="K26">
        <f t="shared" si="22"/>
        <v>800</v>
      </c>
      <c r="L26" s="2">
        <f t="shared" si="23"/>
        <v>1059</v>
      </c>
      <c r="M26" t="b">
        <f t="shared" si="24"/>
        <v>0</v>
      </c>
      <c r="N26" t="b">
        <f t="shared" si="25"/>
        <v>0</v>
      </c>
      <c r="P26">
        <f t="shared" si="9"/>
        <v>1059</v>
      </c>
      <c r="Q26">
        <f t="shared" si="10"/>
        <v>800</v>
      </c>
      <c r="R26" t="b">
        <f t="shared" si="26"/>
        <v>0</v>
      </c>
      <c r="T26">
        <f t="shared" si="27"/>
        <v>1053</v>
      </c>
      <c r="U26">
        <f t="shared" si="28"/>
        <v>900</v>
      </c>
      <c r="V26" t="b">
        <f t="shared" si="11"/>
        <v>0</v>
      </c>
      <c r="X26" s="12">
        <v>1.3369</v>
      </c>
      <c r="Y26" s="12">
        <v>8.433544812298672</v>
      </c>
      <c r="Z26" s="11">
        <f t="shared" si="12"/>
        <v>1168.972136095966</v>
      </c>
      <c r="AA26">
        <f>$I$7/výber!Z26</f>
        <v>0.8554523834415036</v>
      </c>
      <c r="AB26">
        <f t="shared" si="13"/>
        <v>800</v>
      </c>
      <c r="AC26" s="2">
        <f t="shared" si="14"/>
        <v>936</v>
      </c>
      <c r="AD26">
        <f t="shared" si="15"/>
        <v>900</v>
      </c>
      <c r="AE26" s="2">
        <f t="shared" si="16"/>
        <v>1053</v>
      </c>
      <c r="AF26" t="b">
        <f t="shared" si="17"/>
        <v>0</v>
      </c>
      <c r="AG26" t="b">
        <f t="shared" si="18"/>
        <v>0</v>
      </c>
    </row>
    <row r="27" spans="1:31" ht="12.75">
      <c r="A27" s="6" t="s">
        <v>9</v>
      </c>
      <c r="B27" s="7"/>
      <c r="C27" s="10"/>
      <c r="Z27" s="11"/>
      <c r="AC27" s="2"/>
      <c r="AE27" s="2"/>
    </row>
    <row r="28" spans="1:33" ht="12.75">
      <c r="A28" s="6" t="s">
        <v>6</v>
      </c>
      <c r="B28" s="7"/>
      <c r="C28" s="13">
        <f>'Výber radiátora'!$I$11</f>
        <v>65</v>
      </c>
      <c r="D28" s="12">
        <v>300</v>
      </c>
      <c r="E28">
        <v>1.3087</v>
      </c>
      <c r="F28">
        <v>5.8764</v>
      </c>
      <c r="G28" s="11">
        <f aca="true" t="shared" si="29" ref="G28:G33">IF($E$7&lt;0.7,F28*$E$9^E28,F28*$E$8^E28)</f>
        <v>734.0527342881779</v>
      </c>
      <c r="H28">
        <f>$I$7/výber!G28</f>
        <v>1.362299945615917</v>
      </c>
      <c r="I28">
        <f aca="true" t="shared" si="30" ref="I28:I33">FLOOR(H28*1000,100)</f>
        <v>1300</v>
      </c>
      <c r="J28" s="2">
        <f aca="true" t="shared" si="31" ref="J28:J33">ROUNDUP(G28*I28/1000,0)</f>
        <v>955</v>
      </c>
      <c r="K28">
        <f aca="true" t="shared" si="32" ref="K28:K33">CEILING((H28*1000),100)</f>
        <v>1400</v>
      </c>
      <c r="L28" s="2">
        <f aca="true" t="shared" si="33" ref="L28:L33">ROUNDUP(G28*K28/1000,0)</f>
        <v>1028</v>
      </c>
      <c r="M28" t="b">
        <f aca="true" t="shared" si="34" ref="M28:M33">OR(I28&lt;400,I28&gt;3000)</f>
        <v>0</v>
      </c>
      <c r="N28" t="b">
        <f aca="true" t="shared" si="35" ref="N28:N33">OR(K28&lt;400,K28&gt;3000)</f>
        <v>0</v>
      </c>
      <c r="P28">
        <f t="shared" si="9"/>
        <v>1028</v>
      </c>
      <c r="Q28">
        <f t="shared" si="10"/>
        <v>1400</v>
      </c>
      <c r="R28" t="b">
        <f aca="true" t="shared" si="36" ref="R28:R33">OR(Q28&lt;400,Q28&gt;3000)</f>
        <v>0</v>
      </c>
      <c r="T28">
        <f aca="true" t="shared" si="37" ref="T28:T33">IF(ABS($I$7-AC28)&lt;ABS($I$7-AE28),AC28,AE28)</f>
        <v>1024</v>
      </c>
      <c r="U28">
        <f aca="true" t="shared" si="38" ref="U28:U33">IF(ABS($I$7-AC28)&lt;ABS($I$7-AE28),AB28,AD28)</f>
        <v>1500</v>
      </c>
      <c r="V28" t="b">
        <f t="shared" si="11"/>
        <v>0</v>
      </c>
      <c r="X28">
        <v>1.3011</v>
      </c>
      <c r="Y28">
        <v>5.620030257387689</v>
      </c>
      <c r="Z28" s="11">
        <f t="shared" si="12"/>
        <v>682.6198428171257</v>
      </c>
      <c r="AA28">
        <f>$I$7/výber!Z28</f>
        <v>1.464944229972964</v>
      </c>
      <c r="AB28">
        <f t="shared" si="13"/>
        <v>1400</v>
      </c>
      <c r="AC28" s="2">
        <f t="shared" si="14"/>
        <v>956</v>
      </c>
      <c r="AD28">
        <f t="shared" si="15"/>
        <v>1500</v>
      </c>
      <c r="AE28" s="2">
        <f t="shared" si="16"/>
        <v>1024</v>
      </c>
      <c r="AF28" t="b">
        <f t="shared" si="17"/>
        <v>0</v>
      </c>
      <c r="AG28" t="b">
        <f t="shared" si="18"/>
        <v>0</v>
      </c>
    </row>
    <row r="29" spans="1:33" ht="12.75">
      <c r="A29" s="6" t="s">
        <v>7</v>
      </c>
      <c r="B29" s="7"/>
      <c r="C29" s="13">
        <f>'Výber radiátora'!$I$13</f>
        <v>55</v>
      </c>
      <c r="D29" s="12">
        <v>400</v>
      </c>
      <c r="E29">
        <v>1.3168</v>
      </c>
      <c r="F29">
        <v>7.141</v>
      </c>
      <c r="G29" s="11">
        <f t="shared" si="29"/>
        <v>919.076432170259</v>
      </c>
      <c r="H29">
        <f>$I$7/výber!G29</f>
        <v>1.0880487900648832</v>
      </c>
      <c r="I29">
        <f t="shared" si="30"/>
        <v>1000</v>
      </c>
      <c r="J29" s="2">
        <f t="shared" si="31"/>
        <v>920</v>
      </c>
      <c r="K29">
        <f t="shared" si="32"/>
        <v>1100</v>
      </c>
      <c r="L29" s="2">
        <f t="shared" si="33"/>
        <v>1011</v>
      </c>
      <c r="M29" t="b">
        <f t="shared" si="34"/>
        <v>0</v>
      </c>
      <c r="N29" t="b">
        <f t="shared" si="35"/>
        <v>0</v>
      </c>
      <c r="P29">
        <f>IF(ABS($I$7-J29)&lt;ABS($I$7-L29),J29,L29)</f>
        <v>1011</v>
      </c>
      <c r="Q29">
        <f>IF(ABS($I$7-J29)&lt;ABS($I$7-L29),I29,K29)</f>
        <v>1100</v>
      </c>
      <c r="R29" t="b">
        <f t="shared" si="36"/>
        <v>0</v>
      </c>
      <c r="T29">
        <f t="shared" si="37"/>
        <v>1028</v>
      </c>
      <c r="U29">
        <f t="shared" si="38"/>
        <v>1200</v>
      </c>
      <c r="V29" t="b">
        <f t="shared" si="11"/>
        <v>0</v>
      </c>
      <c r="X29">
        <v>1.3052</v>
      </c>
      <c r="Y29">
        <v>6.944782443413136</v>
      </c>
      <c r="Z29" s="11">
        <f t="shared" si="12"/>
        <v>856.3816362979356</v>
      </c>
      <c r="AA29">
        <f>$I$7/výber!Z29</f>
        <v>1.16770369379114</v>
      </c>
      <c r="AB29">
        <f t="shared" si="13"/>
        <v>1100</v>
      </c>
      <c r="AC29" s="2">
        <f t="shared" si="14"/>
        <v>943</v>
      </c>
      <c r="AD29">
        <f t="shared" si="15"/>
        <v>1200</v>
      </c>
      <c r="AE29" s="2">
        <f t="shared" si="16"/>
        <v>1028</v>
      </c>
      <c r="AF29" t="b">
        <f t="shared" si="17"/>
        <v>0</v>
      </c>
      <c r="AG29" t="b">
        <f t="shared" si="18"/>
        <v>0</v>
      </c>
    </row>
    <row r="30" spans="1:33" ht="12.75">
      <c r="A30" s="6" t="s">
        <v>8</v>
      </c>
      <c r="B30" s="7"/>
      <c r="C30" s="13">
        <f>'Výber radiátora'!$I$9</f>
        <v>20</v>
      </c>
      <c r="D30" s="12">
        <v>500</v>
      </c>
      <c r="E30">
        <v>1.325</v>
      </c>
      <c r="F30">
        <v>8.2448</v>
      </c>
      <c r="G30" s="11">
        <f t="shared" si="29"/>
        <v>1093.7287132300753</v>
      </c>
      <c r="H30">
        <f>$I$7/výber!G30</f>
        <v>0.9143035086339928</v>
      </c>
      <c r="I30">
        <f t="shared" si="30"/>
        <v>900</v>
      </c>
      <c r="J30" s="2">
        <f t="shared" si="31"/>
        <v>985</v>
      </c>
      <c r="K30">
        <f t="shared" si="32"/>
        <v>1000</v>
      </c>
      <c r="L30" s="2">
        <f t="shared" si="33"/>
        <v>1094</v>
      </c>
      <c r="M30" t="b">
        <f t="shared" si="34"/>
        <v>0</v>
      </c>
      <c r="N30" t="b">
        <f t="shared" si="35"/>
        <v>0</v>
      </c>
      <c r="P30">
        <f>IF(ABS($I$7-J30)&lt;ABS($I$7-L30),J30,L30)</f>
        <v>985</v>
      </c>
      <c r="Q30">
        <f>IF(ABS($I$7-J30)&lt;ABS($I$7-L30),I30,K30)</f>
        <v>900</v>
      </c>
      <c r="R30" t="b">
        <f t="shared" si="36"/>
        <v>0</v>
      </c>
      <c r="T30">
        <f t="shared" si="37"/>
        <v>1019</v>
      </c>
      <c r="U30">
        <f t="shared" si="38"/>
        <v>1000</v>
      </c>
      <c r="V30" t="b">
        <f t="shared" si="11"/>
        <v>0</v>
      </c>
      <c r="X30">
        <v>1.3092</v>
      </c>
      <c r="Y30">
        <v>8.138720580557619</v>
      </c>
      <c r="Z30" s="11">
        <f t="shared" si="12"/>
        <v>1018.5282500010422</v>
      </c>
      <c r="AA30">
        <f>$I$7/výber!Z30</f>
        <v>0.9818088010803595</v>
      </c>
      <c r="AB30">
        <f t="shared" si="13"/>
        <v>900</v>
      </c>
      <c r="AC30" s="2">
        <f t="shared" si="14"/>
        <v>917</v>
      </c>
      <c r="AD30">
        <f t="shared" si="15"/>
        <v>1000</v>
      </c>
      <c r="AE30" s="2">
        <f t="shared" si="16"/>
        <v>1019</v>
      </c>
      <c r="AF30" t="b">
        <f t="shared" si="17"/>
        <v>0</v>
      </c>
      <c r="AG30" t="b">
        <f t="shared" si="18"/>
        <v>0</v>
      </c>
    </row>
    <row r="31" spans="1:33" ht="12.75">
      <c r="A31" s="6"/>
      <c r="B31" s="7"/>
      <c r="C31" s="13"/>
      <c r="D31" s="12">
        <v>550</v>
      </c>
      <c r="E31" s="86">
        <v>1.3249</v>
      </c>
      <c r="F31" s="86">
        <v>8.943078074110788</v>
      </c>
      <c r="G31" s="11">
        <f t="shared" si="29"/>
        <v>1185.9224887944451</v>
      </c>
      <c r="H31">
        <f>$I$7/výber!G31</f>
        <v>0.843225429527485</v>
      </c>
      <c r="I31">
        <f t="shared" si="30"/>
        <v>800</v>
      </c>
      <c r="J31" s="2">
        <f t="shared" si="31"/>
        <v>949</v>
      </c>
      <c r="K31">
        <f t="shared" si="32"/>
        <v>900</v>
      </c>
      <c r="L31" s="2">
        <f t="shared" si="33"/>
        <v>1068</v>
      </c>
      <c r="M31" t="b">
        <f t="shared" si="34"/>
        <v>0</v>
      </c>
      <c r="N31" t="b">
        <f t="shared" si="35"/>
        <v>0</v>
      </c>
      <c r="P31">
        <f>IF(ABS($I$7-J31)&lt;ABS($I$7-L31),J31,L31)</f>
        <v>949</v>
      </c>
      <c r="Q31">
        <f>IF(ABS($I$7-J31)&lt;ABS($I$7-L31),I31,K31)</f>
        <v>800</v>
      </c>
      <c r="R31" t="b">
        <f t="shared" si="36"/>
        <v>0</v>
      </c>
      <c r="T31">
        <f t="shared" si="37"/>
        <v>992</v>
      </c>
      <c r="U31">
        <f t="shared" si="38"/>
        <v>900</v>
      </c>
      <c r="V31" t="b">
        <f t="shared" si="11"/>
        <v>0</v>
      </c>
      <c r="X31">
        <v>1.3114</v>
      </c>
      <c r="Y31">
        <v>8.734652269758518</v>
      </c>
      <c r="Z31" s="11">
        <f t="shared" si="12"/>
        <v>1102.0139518083722</v>
      </c>
      <c r="AA31">
        <f>$I$7/výber!Z31</f>
        <v>0.9074295278739708</v>
      </c>
      <c r="AB31">
        <f t="shared" si="13"/>
        <v>900</v>
      </c>
      <c r="AC31" s="2">
        <f>ROUNDUP(Z31*AB31/1000,0)</f>
        <v>992</v>
      </c>
      <c r="AD31">
        <f>CEILING((AA31*1000),100)</f>
        <v>1000</v>
      </c>
      <c r="AE31" s="2">
        <f>ROUNDUP(Z31*AD31/1000,0)</f>
        <v>1103</v>
      </c>
      <c r="AF31" t="b">
        <f>OR(AB31&lt;400,AB31&gt;2000)</f>
        <v>0</v>
      </c>
      <c r="AG31" t="b">
        <f>OR(AD31&lt;400,AD31&gt;2000)</f>
        <v>0</v>
      </c>
    </row>
    <row r="32" spans="4:33" ht="12.75">
      <c r="D32" s="12">
        <v>600</v>
      </c>
      <c r="E32">
        <v>1.3331</v>
      </c>
      <c r="F32">
        <v>9.2266</v>
      </c>
      <c r="G32" s="11">
        <f t="shared" si="29"/>
        <v>1261.0951850527035</v>
      </c>
      <c r="H32">
        <f>$I$7/výber!G32</f>
        <v>0.7929615558386325</v>
      </c>
      <c r="I32">
        <f t="shared" si="30"/>
        <v>700</v>
      </c>
      <c r="J32" s="2">
        <f t="shared" si="31"/>
        <v>883</v>
      </c>
      <c r="K32">
        <f t="shared" si="32"/>
        <v>800</v>
      </c>
      <c r="L32" s="2">
        <f t="shared" si="33"/>
        <v>1009</v>
      </c>
      <c r="M32" t="b">
        <f t="shared" si="34"/>
        <v>0</v>
      </c>
      <c r="N32" t="b">
        <f t="shared" si="35"/>
        <v>0</v>
      </c>
      <c r="P32">
        <f>IF(ABS($I$7-J32)&lt;ABS($I$7-L32),J32,L32)</f>
        <v>1009</v>
      </c>
      <c r="Q32">
        <f>IF(ABS($I$7-J32)&lt;ABS($I$7-L32),I32,K32)</f>
        <v>800</v>
      </c>
      <c r="R32" t="b">
        <f t="shared" si="36"/>
        <v>0</v>
      </c>
      <c r="T32">
        <f t="shared" si="37"/>
        <v>1055</v>
      </c>
      <c r="U32">
        <f t="shared" si="38"/>
        <v>900</v>
      </c>
      <c r="V32" t="b">
        <f t="shared" si="11"/>
        <v>0</v>
      </c>
      <c r="X32">
        <v>1.3133</v>
      </c>
      <c r="Y32">
        <v>9.217519153641343</v>
      </c>
      <c r="Z32" s="11">
        <f t="shared" si="12"/>
        <v>1171.1147080879</v>
      </c>
      <c r="AA32">
        <f>$I$7/výber!Z32</f>
        <v>0.8538873204254415</v>
      </c>
      <c r="AB32">
        <f t="shared" si="13"/>
        <v>800</v>
      </c>
      <c r="AC32" s="2">
        <f t="shared" si="14"/>
        <v>937</v>
      </c>
      <c r="AD32">
        <f t="shared" si="15"/>
        <v>900</v>
      </c>
      <c r="AE32" s="2">
        <f t="shared" si="16"/>
        <v>1055</v>
      </c>
      <c r="AF32" t="b">
        <f t="shared" si="17"/>
        <v>0</v>
      </c>
      <c r="AG32" t="b">
        <f t="shared" si="18"/>
        <v>0</v>
      </c>
    </row>
    <row r="33" spans="4:33" ht="12.75">
      <c r="D33" s="12">
        <v>900</v>
      </c>
      <c r="E33">
        <v>1.3348</v>
      </c>
      <c r="F33">
        <v>12.674</v>
      </c>
      <c r="G33" s="11">
        <f t="shared" si="29"/>
        <v>1743.1845947510856</v>
      </c>
      <c r="H33">
        <f>$I$7/výber!G33</f>
        <v>0.5736627107714848</v>
      </c>
      <c r="I33">
        <f t="shared" si="30"/>
        <v>500</v>
      </c>
      <c r="J33" s="2">
        <f t="shared" si="31"/>
        <v>872</v>
      </c>
      <c r="K33">
        <f t="shared" si="32"/>
        <v>600</v>
      </c>
      <c r="L33" s="2">
        <f t="shared" si="33"/>
        <v>1046</v>
      </c>
      <c r="M33" t="b">
        <f t="shared" si="34"/>
        <v>0</v>
      </c>
      <c r="N33" t="b">
        <f t="shared" si="35"/>
        <v>0</v>
      </c>
      <c r="P33">
        <f>IF(ABS($I$7-J33)&lt;ABS($I$7-L33),J33,L33)</f>
        <v>1046</v>
      </c>
      <c r="Q33">
        <f>IF(ABS($I$7-J33)&lt;ABS($I$7-L33),I33,K33)</f>
        <v>600</v>
      </c>
      <c r="R33" t="b">
        <f t="shared" si="36"/>
        <v>0</v>
      </c>
      <c r="T33">
        <f t="shared" si="37"/>
        <v>952</v>
      </c>
      <c r="U33">
        <f t="shared" si="38"/>
        <v>600</v>
      </c>
      <c r="V33" t="b">
        <f t="shared" si="11"/>
        <v>0</v>
      </c>
      <c r="X33">
        <v>1.3199</v>
      </c>
      <c r="Y33">
        <v>12.179318650689272</v>
      </c>
      <c r="Z33" s="11">
        <f t="shared" si="12"/>
        <v>1585.557425019066</v>
      </c>
      <c r="AA33">
        <f>$I$7/výber!Z33</f>
        <v>0.6306930195151874</v>
      </c>
      <c r="AB33">
        <f t="shared" si="13"/>
        <v>600</v>
      </c>
      <c r="AC33" s="2">
        <f t="shared" si="14"/>
        <v>952</v>
      </c>
      <c r="AD33">
        <f t="shared" si="15"/>
        <v>700</v>
      </c>
      <c r="AE33" s="2">
        <f t="shared" si="16"/>
        <v>1110</v>
      </c>
      <c r="AF33" t="b">
        <f t="shared" si="17"/>
        <v>0</v>
      </c>
      <c r="AG33" t="b">
        <f t="shared" si="18"/>
        <v>0</v>
      </c>
    </row>
    <row r="34" spans="1:31" ht="12.75">
      <c r="A34" s="6" t="s">
        <v>10</v>
      </c>
      <c r="B34" s="7"/>
      <c r="C34" s="10"/>
      <c r="Z34" s="11"/>
      <c r="AC34" s="2"/>
      <c r="AE34" s="2"/>
    </row>
    <row r="35" spans="1:33" ht="12.75">
      <c r="A35" s="6" t="s">
        <v>6</v>
      </c>
      <c r="B35" s="7"/>
      <c r="C35" s="13">
        <f>'Výber radiátora'!$I$11</f>
        <v>65</v>
      </c>
      <c r="D35" s="12">
        <v>300</v>
      </c>
      <c r="E35">
        <v>1.3005</v>
      </c>
      <c r="F35">
        <v>8.568</v>
      </c>
      <c r="G35" s="11">
        <f aca="true" t="shared" si="39" ref="G35:G40">IF($E$7&lt;0.7,F35*$E$9^E35,F35*$E$8^E35)</f>
        <v>1038.3851689199091</v>
      </c>
      <c r="H35">
        <f>$I$7/výber!G35</f>
        <v>0.9630337854691858</v>
      </c>
      <c r="I35">
        <f aca="true" t="shared" si="40" ref="I35:I40">FLOOR(H35*1000,100)</f>
        <v>900</v>
      </c>
      <c r="J35" s="2">
        <f aca="true" t="shared" si="41" ref="J35:J40">ROUNDUP(G35*I35/1000,0)</f>
        <v>935</v>
      </c>
      <c r="K35">
        <f aca="true" t="shared" si="42" ref="K35:K40">CEILING((H35*1000),100)</f>
        <v>1000</v>
      </c>
      <c r="L35" s="2">
        <f aca="true" t="shared" si="43" ref="L35:L40">ROUNDUP(G35*K35/1000,0)</f>
        <v>1039</v>
      </c>
      <c r="M35" t="b">
        <f aca="true" t="shared" si="44" ref="M35:M40">OR(I35&lt;400,I35&gt;3000)</f>
        <v>0</v>
      </c>
      <c r="N35" t="b">
        <f aca="true" t="shared" si="45" ref="N35:N40">OR(K35&lt;400,K35&gt;3000)</f>
        <v>0</v>
      </c>
      <c r="P35">
        <f aca="true" t="shared" si="46" ref="P35:P40">IF(ABS($I$7-J35)&lt;ABS($I$7-L35),J35,L35)</f>
        <v>1039</v>
      </c>
      <c r="Q35">
        <f aca="true" t="shared" si="47" ref="Q35:Q40">IF(ABS($I$7-J35)&lt;ABS($I$7-L35),I35,K35)</f>
        <v>1000</v>
      </c>
      <c r="R35" t="b">
        <f aca="true" t="shared" si="48" ref="R35:R40">OR(Q35&lt;400,Q35&gt;3000)</f>
        <v>0</v>
      </c>
      <c r="T35">
        <f aca="true" t="shared" si="49" ref="T35:T40">IF(ABS($I$7-AC35)&lt;ABS($I$7-AE35),AC35,AE35)</f>
        <v>973</v>
      </c>
      <c r="U35">
        <f aca="true" t="shared" si="50" ref="U35:U40">IF(ABS($I$7-AC35)&lt;ABS($I$7-AE35),AB35,AD35)</f>
        <v>1000</v>
      </c>
      <c r="V35" t="b">
        <f t="shared" si="11"/>
        <v>0</v>
      </c>
      <c r="X35" s="86">
        <v>1.3022</v>
      </c>
      <c r="Y35">
        <v>7.97123792041286</v>
      </c>
      <c r="Z35" s="11">
        <f t="shared" si="12"/>
        <v>972.138834782533</v>
      </c>
      <c r="AA35">
        <f>$I$7/výber!Z35</f>
        <v>1.0286596566463673</v>
      </c>
      <c r="AB35">
        <f t="shared" si="13"/>
        <v>1000</v>
      </c>
      <c r="AC35" s="2">
        <f t="shared" si="14"/>
        <v>973</v>
      </c>
      <c r="AD35">
        <f t="shared" si="15"/>
        <v>1100</v>
      </c>
      <c r="AE35" s="2">
        <f t="shared" si="16"/>
        <v>1070</v>
      </c>
      <c r="AF35" t="b">
        <f t="shared" si="17"/>
        <v>0</v>
      </c>
      <c r="AG35" t="b">
        <f t="shared" si="18"/>
        <v>0</v>
      </c>
    </row>
    <row r="36" spans="1:33" ht="12.75">
      <c r="A36" s="6" t="s">
        <v>7</v>
      </c>
      <c r="B36" s="7"/>
      <c r="C36" s="13">
        <f>'Výber radiátora'!$I$13</f>
        <v>55</v>
      </c>
      <c r="D36" s="12">
        <v>400</v>
      </c>
      <c r="E36">
        <v>1.3151</v>
      </c>
      <c r="F36">
        <v>10.2087</v>
      </c>
      <c r="G36" s="11">
        <f t="shared" si="39"/>
        <v>1305.6883709787865</v>
      </c>
      <c r="H36">
        <f>$I$7/výber!G36</f>
        <v>0.765879533146464</v>
      </c>
      <c r="I36">
        <f t="shared" si="40"/>
        <v>700</v>
      </c>
      <c r="J36" s="2">
        <f t="shared" si="41"/>
        <v>914</v>
      </c>
      <c r="K36">
        <f t="shared" si="42"/>
        <v>800</v>
      </c>
      <c r="L36" s="2">
        <f t="shared" si="43"/>
        <v>1045</v>
      </c>
      <c r="M36" t="b">
        <f t="shared" si="44"/>
        <v>0</v>
      </c>
      <c r="N36" t="b">
        <f t="shared" si="45"/>
        <v>0</v>
      </c>
      <c r="P36">
        <f t="shared" si="46"/>
        <v>1045</v>
      </c>
      <c r="Q36">
        <f t="shared" si="47"/>
        <v>800</v>
      </c>
      <c r="R36" t="b">
        <f t="shared" si="48"/>
        <v>0</v>
      </c>
      <c r="T36">
        <f t="shared" si="49"/>
        <v>977</v>
      </c>
      <c r="U36">
        <f t="shared" si="50"/>
        <v>800</v>
      </c>
      <c r="V36" t="b">
        <f t="shared" si="11"/>
        <v>0</v>
      </c>
      <c r="X36" s="86">
        <v>1.307</v>
      </c>
      <c r="Y36">
        <v>9.831329078845508</v>
      </c>
      <c r="Z36" s="11">
        <f t="shared" si="12"/>
        <v>1220.4068648878697</v>
      </c>
      <c r="AA36">
        <f>$I$7/výber!Z36</f>
        <v>0.8193988650595467</v>
      </c>
      <c r="AB36">
        <f t="shared" si="13"/>
        <v>800</v>
      </c>
      <c r="AC36" s="2">
        <f t="shared" si="14"/>
        <v>977</v>
      </c>
      <c r="AD36">
        <f t="shared" si="15"/>
        <v>900</v>
      </c>
      <c r="AE36" s="2">
        <f t="shared" si="16"/>
        <v>1099</v>
      </c>
      <c r="AF36" t="b">
        <f t="shared" si="17"/>
        <v>0</v>
      </c>
      <c r="AG36" t="b">
        <f t="shared" si="18"/>
        <v>0</v>
      </c>
    </row>
    <row r="37" spans="1:33" ht="12.75">
      <c r="A37" s="6" t="s">
        <v>8</v>
      </c>
      <c r="B37" s="7"/>
      <c r="C37" s="13">
        <f>'Výber radiátora'!$I$9</f>
        <v>20</v>
      </c>
      <c r="D37" s="12">
        <v>500</v>
      </c>
      <c r="E37">
        <v>1.3298</v>
      </c>
      <c r="F37">
        <v>11.5097</v>
      </c>
      <c r="G37" s="11">
        <f t="shared" si="39"/>
        <v>1554.1158165623297</v>
      </c>
      <c r="H37">
        <f>$I$7/výber!G37</f>
        <v>0.643452688237855</v>
      </c>
      <c r="I37">
        <f t="shared" si="40"/>
        <v>600</v>
      </c>
      <c r="J37" s="2">
        <f t="shared" si="41"/>
        <v>933</v>
      </c>
      <c r="K37">
        <f t="shared" si="42"/>
        <v>700</v>
      </c>
      <c r="L37" s="2">
        <f t="shared" si="43"/>
        <v>1088</v>
      </c>
      <c r="M37" t="b">
        <f t="shared" si="44"/>
        <v>0</v>
      </c>
      <c r="N37" t="b">
        <f t="shared" si="45"/>
        <v>0</v>
      </c>
      <c r="P37">
        <f t="shared" si="46"/>
        <v>933</v>
      </c>
      <c r="Q37">
        <f t="shared" si="47"/>
        <v>600</v>
      </c>
      <c r="R37" t="b">
        <f t="shared" si="48"/>
        <v>0</v>
      </c>
      <c r="T37">
        <f t="shared" si="49"/>
        <v>1019</v>
      </c>
      <c r="U37">
        <f t="shared" si="50"/>
        <v>700</v>
      </c>
      <c r="V37" t="b">
        <f t="shared" si="11"/>
        <v>0</v>
      </c>
      <c r="X37" s="86">
        <v>1.3117</v>
      </c>
      <c r="Y37">
        <v>11.524203699327282</v>
      </c>
      <c r="Z37" s="11">
        <f t="shared" si="12"/>
        <v>1455.569734584321</v>
      </c>
      <c r="AA37">
        <f>$I$7/výber!Z37</f>
        <v>0.6870162083203648</v>
      </c>
      <c r="AB37">
        <f t="shared" si="13"/>
        <v>600</v>
      </c>
      <c r="AC37" s="2">
        <f t="shared" si="14"/>
        <v>874</v>
      </c>
      <c r="AD37">
        <f t="shared" si="15"/>
        <v>700</v>
      </c>
      <c r="AE37" s="2">
        <f t="shared" si="16"/>
        <v>1019</v>
      </c>
      <c r="AF37" t="b">
        <f t="shared" si="17"/>
        <v>0</v>
      </c>
      <c r="AG37" t="b">
        <f t="shared" si="18"/>
        <v>0</v>
      </c>
    </row>
    <row r="38" spans="1:33" ht="12.75">
      <c r="A38" s="6"/>
      <c r="B38" s="7"/>
      <c r="C38" s="13"/>
      <c r="D38" s="12">
        <v>550</v>
      </c>
      <c r="E38">
        <v>1.3357</v>
      </c>
      <c r="F38">
        <v>12.182992351447862</v>
      </c>
      <c r="G38" s="11">
        <f t="shared" si="39"/>
        <v>1681.2236938158323</v>
      </c>
      <c r="H38">
        <f>$I$7/výber!G38</f>
        <v>0.5948048458265089</v>
      </c>
      <c r="I38">
        <f t="shared" si="40"/>
        <v>500</v>
      </c>
      <c r="J38" s="2">
        <f t="shared" si="41"/>
        <v>841</v>
      </c>
      <c r="K38">
        <f t="shared" si="42"/>
        <v>600</v>
      </c>
      <c r="L38" s="2">
        <f t="shared" si="43"/>
        <v>1009</v>
      </c>
      <c r="M38" t="b">
        <f t="shared" si="44"/>
        <v>0</v>
      </c>
      <c r="N38" t="b">
        <f t="shared" si="45"/>
        <v>0</v>
      </c>
      <c r="P38">
        <f t="shared" si="46"/>
        <v>1009</v>
      </c>
      <c r="Q38">
        <f t="shared" si="47"/>
        <v>600</v>
      </c>
      <c r="R38" t="b">
        <f t="shared" si="48"/>
        <v>0</v>
      </c>
      <c r="T38">
        <f t="shared" si="49"/>
        <v>947</v>
      </c>
      <c r="U38">
        <f t="shared" si="50"/>
        <v>600</v>
      </c>
      <c r="V38" t="b">
        <f t="shared" si="11"/>
        <v>0</v>
      </c>
      <c r="X38">
        <v>1.3143</v>
      </c>
      <c r="Y38">
        <v>12.375920817405202</v>
      </c>
      <c r="Z38" s="11">
        <f t="shared" si="12"/>
        <v>1578.2106459872896</v>
      </c>
      <c r="AA38">
        <f>$I$7/výber!Z38</f>
        <v>0.6336289788328128</v>
      </c>
      <c r="AB38">
        <f t="shared" si="13"/>
        <v>600</v>
      </c>
      <c r="AC38" s="2">
        <f>ROUNDUP(Z38*AB38/1000,0)</f>
        <v>947</v>
      </c>
      <c r="AD38">
        <f>CEILING((AA38*1000),100)</f>
        <v>700</v>
      </c>
      <c r="AE38" s="2">
        <f>ROUNDUP(Z38*AD38/1000,0)</f>
        <v>1105</v>
      </c>
      <c r="AF38" t="b">
        <f>OR(AB38&lt;400,AB38&gt;2000)</f>
        <v>0</v>
      </c>
      <c r="AG38" t="b">
        <f>OR(AD38&lt;400,AD38&gt;2000)</f>
        <v>0</v>
      </c>
    </row>
    <row r="39" spans="4:33" ht="12.75">
      <c r="D39" s="12">
        <v>600</v>
      </c>
      <c r="E39">
        <v>1.3444</v>
      </c>
      <c r="F39">
        <v>12.5291</v>
      </c>
      <c r="G39" s="11">
        <f t="shared" si="39"/>
        <v>1785.374501242185</v>
      </c>
      <c r="H39">
        <f>$I$7/výber!G39</f>
        <v>0.5601065766897891</v>
      </c>
      <c r="I39">
        <f t="shared" si="40"/>
        <v>500</v>
      </c>
      <c r="J39" s="2">
        <f t="shared" si="41"/>
        <v>893</v>
      </c>
      <c r="K39">
        <f t="shared" si="42"/>
        <v>600</v>
      </c>
      <c r="L39" s="2">
        <f t="shared" si="43"/>
        <v>1072</v>
      </c>
      <c r="M39" t="b">
        <f t="shared" si="44"/>
        <v>0</v>
      </c>
      <c r="N39" t="b">
        <f t="shared" si="45"/>
        <v>0</v>
      </c>
      <c r="P39">
        <f t="shared" si="46"/>
        <v>1072</v>
      </c>
      <c r="Q39">
        <f t="shared" si="47"/>
        <v>600</v>
      </c>
      <c r="R39" t="b">
        <f t="shared" si="48"/>
        <v>0</v>
      </c>
      <c r="T39">
        <f t="shared" si="49"/>
        <v>1009</v>
      </c>
      <c r="U39">
        <f t="shared" si="50"/>
        <v>600</v>
      </c>
      <c r="V39" t="b">
        <f t="shared" si="11"/>
        <v>0</v>
      </c>
      <c r="X39" s="86">
        <v>1.3165</v>
      </c>
      <c r="Y39">
        <v>13.072578932485275</v>
      </c>
      <c r="Z39" s="11">
        <f t="shared" si="12"/>
        <v>1680.6344105778883</v>
      </c>
      <c r="AA39">
        <f>$I$7/výber!Z39</f>
        <v>0.5950134030970773</v>
      </c>
      <c r="AB39">
        <f t="shared" si="13"/>
        <v>500</v>
      </c>
      <c r="AC39" s="2">
        <f t="shared" si="14"/>
        <v>841</v>
      </c>
      <c r="AD39">
        <f t="shared" si="15"/>
        <v>600</v>
      </c>
      <c r="AE39" s="2">
        <f t="shared" si="16"/>
        <v>1009</v>
      </c>
      <c r="AF39" t="b">
        <f t="shared" si="17"/>
        <v>0</v>
      </c>
      <c r="AG39" t="b">
        <f t="shared" si="18"/>
        <v>0</v>
      </c>
    </row>
    <row r="40" spans="4:33" ht="12.75">
      <c r="D40" s="12">
        <v>900</v>
      </c>
      <c r="E40">
        <v>1.358</v>
      </c>
      <c r="F40">
        <v>16.1045</v>
      </c>
      <c r="G40" s="11">
        <f t="shared" si="39"/>
        <v>2412.9299494647366</v>
      </c>
      <c r="H40">
        <f>$I$7/výber!G40</f>
        <v>0.4144339126885268</v>
      </c>
      <c r="I40">
        <f t="shared" si="40"/>
        <v>400</v>
      </c>
      <c r="J40" s="2">
        <f t="shared" si="41"/>
        <v>966</v>
      </c>
      <c r="K40">
        <f t="shared" si="42"/>
        <v>500</v>
      </c>
      <c r="L40" s="2">
        <f t="shared" si="43"/>
        <v>1207</v>
      </c>
      <c r="M40" t="b">
        <f t="shared" si="44"/>
        <v>0</v>
      </c>
      <c r="N40" t="b">
        <f t="shared" si="45"/>
        <v>0</v>
      </c>
      <c r="P40">
        <f t="shared" si="46"/>
        <v>966</v>
      </c>
      <c r="Q40">
        <f t="shared" si="47"/>
        <v>400</v>
      </c>
      <c r="R40" t="b">
        <f t="shared" si="48"/>
        <v>0</v>
      </c>
      <c r="T40">
        <f t="shared" si="49"/>
        <v>925</v>
      </c>
      <c r="U40">
        <f t="shared" si="50"/>
        <v>400</v>
      </c>
      <c r="V40" t="b">
        <f t="shared" si="11"/>
        <v>0</v>
      </c>
      <c r="X40" s="86">
        <v>1.3346</v>
      </c>
      <c r="Y40">
        <v>16.808408219546873</v>
      </c>
      <c r="Z40" s="11">
        <f t="shared" si="12"/>
        <v>2310.1269758958497</v>
      </c>
      <c r="AA40">
        <f>$I$7/výber!Z40</f>
        <v>0.43287663857187225</v>
      </c>
      <c r="AB40">
        <f t="shared" si="13"/>
        <v>400</v>
      </c>
      <c r="AC40" s="2">
        <f t="shared" si="14"/>
        <v>925</v>
      </c>
      <c r="AD40">
        <f t="shared" si="15"/>
        <v>500</v>
      </c>
      <c r="AE40" s="2">
        <f t="shared" si="16"/>
        <v>1156</v>
      </c>
      <c r="AF40" t="b">
        <f t="shared" si="17"/>
        <v>0</v>
      </c>
      <c r="AG40" t="b">
        <f t="shared" si="18"/>
        <v>0</v>
      </c>
    </row>
    <row r="41" spans="1:31" ht="12.75">
      <c r="A41" s="6" t="s">
        <v>16</v>
      </c>
      <c r="B41" s="7"/>
      <c r="C41" s="10"/>
      <c r="AC41" s="2"/>
      <c r="AE41" s="2"/>
    </row>
    <row r="42" spans="1:33" ht="12.75">
      <c r="A42" s="6" t="s">
        <v>6</v>
      </c>
      <c r="B42" s="7"/>
      <c r="C42" s="13">
        <f>'Výber radiátora'!$I$11</f>
        <v>65</v>
      </c>
      <c r="D42" s="12">
        <v>300</v>
      </c>
      <c r="E42">
        <v>1.3187</v>
      </c>
      <c r="F42">
        <v>1.966</v>
      </c>
      <c r="G42" s="11">
        <f aca="true" t="shared" si="51" ref="G42:G47">IF($E$7&lt;0.7,F42*$E$9^E42,F42*$E$8^E42)</f>
        <v>254.81208651240982</v>
      </c>
      <c r="H42">
        <f>$I$7/výber!G42</f>
        <v>3.9244606238538773</v>
      </c>
      <c r="I42">
        <f aca="true" t="shared" si="52" ref="I42:I47">FLOOR(H42*1000,100)</f>
        <v>3900</v>
      </c>
      <c r="J42" s="2">
        <f aca="true" t="shared" si="53" ref="J42:J47">ROUNDUP(G42*I42/1000,0)</f>
        <v>994</v>
      </c>
      <c r="K42">
        <f aca="true" t="shared" si="54" ref="K42:K47">CEILING((H42*1000),100)</f>
        <v>4000</v>
      </c>
      <c r="L42" s="2">
        <f aca="true" t="shared" si="55" ref="L42:L47">ROUNDUP(G42*K42/1000,0)</f>
        <v>1020</v>
      </c>
      <c r="M42" t="b">
        <f>OR(I42&lt;400,I42&gt;3000)</f>
        <v>1</v>
      </c>
      <c r="N42" t="b">
        <f>OR(K42&lt;400,K42&gt;3000)</f>
        <v>1</v>
      </c>
      <c r="P42">
        <f aca="true" t="shared" si="56" ref="P42:P47">IF(ABS($I$7-J42)&lt;ABS($I$7-L42),J42,L42)</f>
        <v>994</v>
      </c>
      <c r="Q42">
        <f aca="true" t="shared" si="57" ref="Q42:Q47">IF(ABS($I$7-J42)&lt;ABS($I$7-L42),I42,K42)</f>
        <v>3900</v>
      </c>
      <c r="R42" t="b">
        <f aca="true" t="shared" si="58" ref="R42:R47">OR(Q42&lt;400,Q42&gt;3000)</f>
        <v>1</v>
      </c>
      <c r="T42">
        <f aca="true" t="shared" si="59" ref="T42:T47">IF(ABS($I$7-AC42)&lt;ABS($I$7-AE42),AC42,AE42)</f>
        <v>1000</v>
      </c>
      <c r="U42">
        <f aca="true" t="shared" si="60" ref="U42:U47">IF(ABS($I$7-AC42)&lt;ABS($I$7-AE42),AB42,AD42)</f>
        <v>4200</v>
      </c>
      <c r="V42" t="b">
        <f t="shared" si="11"/>
        <v>1</v>
      </c>
      <c r="X42" s="86">
        <v>1.269</v>
      </c>
      <c r="Y42">
        <v>2.206450288051308</v>
      </c>
      <c r="Z42" s="11">
        <f t="shared" si="12"/>
        <v>238.07197572607433</v>
      </c>
      <c r="AA42">
        <f>$I$7/výber!Z42</f>
        <v>4.200410388287785</v>
      </c>
      <c r="AB42">
        <f t="shared" si="13"/>
        <v>4200</v>
      </c>
      <c r="AC42" s="2">
        <f t="shared" si="14"/>
        <v>1000</v>
      </c>
      <c r="AD42">
        <f t="shared" si="15"/>
        <v>4300</v>
      </c>
      <c r="AE42" s="2">
        <f t="shared" si="16"/>
        <v>1024</v>
      </c>
      <c r="AF42" t="b">
        <f t="shared" si="17"/>
        <v>1</v>
      </c>
      <c r="AG42" t="b">
        <f t="shared" si="18"/>
        <v>1</v>
      </c>
    </row>
    <row r="43" spans="1:33" ht="12.75">
      <c r="A43" s="6" t="s">
        <v>7</v>
      </c>
      <c r="B43" s="7"/>
      <c r="C43" s="13">
        <f>'Výber radiátora'!$I$13</f>
        <v>55</v>
      </c>
      <c r="D43" s="12">
        <v>400</v>
      </c>
      <c r="E43">
        <v>1.3072</v>
      </c>
      <c r="F43">
        <v>2.6638</v>
      </c>
      <c r="G43" s="11">
        <f t="shared" si="51"/>
        <v>330.9134620386168</v>
      </c>
      <c r="H43">
        <f>$I$7/výber!G43</f>
        <v>3.0219381038154998</v>
      </c>
      <c r="I43">
        <f t="shared" si="52"/>
        <v>3000</v>
      </c>
      <c r="J43" s="2">
        <f t="shared" si="53"/>
        <v>993</v>
      </c>
      <c r="K43">
        <f t="shared" si="54"/>
        <v>3100</v>
      </c>
      <c r="L43" s="2">
        <f t="shared" si="55"/>
        <v>1026</v>
      </c>
      <c r="M43" t="b">
        <f>OR(I43&lt;400,I43&gt;3000)</f>
        <v>0</v>
      </c>
      <c r="N43" t="b">
        <f>OR(K43&lt;400,K43&gt;3000)</f>
        <v>1</v>
      </c>
      <c r="P43">
        <f t="shared" si="56"/>
        <v>993</v>
      </c>
      <c r="Q43">
        <f t="shared" si="57"/>
        <v>3000</v>
      </c>
      <c r="R43" t="b">
        <f t="shared" si="58"/>
        <v>0</v>
      </c>
      <c r="T43">
        <f t="shared" si="59"/>
        <v>993</v>
      </c>
      <c r="U43">
        <f t="shared" si="60"/>
        <v>3300</v>
      </c>
      <c r="V43" t="b">
        <f t="shared" si="11"/>
        <v>1</v>
      </c>
      <c r="X43" s="86">
        <v>1.2674</v>
      </c>
      <c r="Y43">
        <v>2.803485486959059</v>
      </c>
      <c r="Z43" s="11">
        <f t="shared" si="12"/>
        <v>300.7108825178147</v>
      </c>
      <c r="AA43">
        <f>$I$7/výber!Z43</f>
        <v>3.3254533112573936</v>
      </c>
      <c r="AB43">
        <f t="shared" si="13"/>
        <v>3300</v>
      </c>
      <c r="AC43" s="2">
        <f t="shared" si="14"/>
        <v>993</v>
      </c>
      <c r="AD43">
        <f t="shared" si="15"/>
        <v>3400</v>
      </c>
      <c r="AE43" s="2">
        <f t="shared" si="16"/>
        <v>1023</v>
      </c>
      <c r="AF43" t="b">
        <f t="shared" si="17"/>
        <v>1</v>
      </c>
      <c r="AG43" t="b">
        <f t="shared" si="18"/>
        <v>1</v>
      </c>
    </row>
    <row r="44" spans="1:33" ht="12.75">
      <c r="A44" s="6" t="s">
        <v>8</v>
      </c>
      <c r="B44" s="7"/>
      <c r="C44" s="13">
        <f>'Výber radiátora'!$I$9</f>
        <v>20</v>
      </c>
      <c r="D44" s="12">
        <v>500</v>
      </c>
      <c r="E44">
        <v>1.2958</v>
      </c>
      <c r="F44">
        <v>3.3701</v>
      </c>
      <c r="G44" s="11">
        <f t="shared" si="51"/>
        <v>401.4136389178688</v>
      </c>
      <c r="H44">
        <f>$I$7/výber!G44</f>
        <v>2.4911958714103504</v>
      </c>
      <c r="I44">
        <f t="shared" si="52"/>
        <v>2400</v>
      </c>
      <c r="J44" s="2">
        <f t="shared" si="53"/>
        <v>964</v>
      </c>
      <c r="K44">
        <f t="shared" si="54"/>
        <v>2500</v>
      </c>
      <c r="L44" s="2">
        <f t="shared" si="55"/>
        <v>1004</v>
      </c>
      <c r="M44" t="b">
        <f>OR(I44&lt;500,I44&gt;3000)</f>
        <v>0</v>
      </c>
      <c r="N44" t="b">
        <f>OR(K44&lt;500,K44&gt;3000)</f>
        <v>0</v>
      </c>
      <c r="P44">
        <f t="shared" si="56"/>
        <v>1004</v>
      </c>
      <c r="Q44">
        <f t="shared" si="57"/>
        <v>2500</v>
      </c>
      <c r="R44" t="b">
        <f t="shared" si="58"/>
        <v>0</v>
      </c>
      <c r="T44">
        <f t="shared" si="59"/>
        <v>1005</v>
      </c>
      <c r="U44">
        <f t="shared" si="60"/>
        <v>2800</v>
      </c>
      <c r="V44" t="b">
        <f t="shared" si="11"/>
        <v>1</v>
      </c>
      <c r="X44" s="86">
        <v>1.2657</v>
      </c>
      <c r="Y44">
        <v>3.3668255807261973</v>
      </c>
      <c r="Z44" s="11">
        <f t="shared" si="12"/>
        <v>358.8789199742023</v>
      </c>
      <c r="AA44">
        <f>$I$7/výber!Z44</f>
        <v>2.786455108792359</v>
      </c>
      <c r="AB44">
        <f t="shared" si="13"/>
        <v>2700</v>
      </c>
      <c r="AC44" s="2">
        <f t="shared" si="14"/>
        <v>969</v>
      </c>
      <c r="AD44">
        <f t="shared" si="15"/>
        <v>2800</v>
      </c>
      <c r="AE44" s="2">
        <f t="shared" si="16"/>
        <v>1005</v>
      </c>
      <c r="AF44" t="b">
        <f t="shared" si="17"/>
        <v>1</v>
      </c>
      <c r="AG44" t="b">
        <f t="shared" si="18"/>
        <v>1</v>
      </c>
    </row>
    <row r="45" spans="1:33" ht="12.75">
      <c r="A45" s="6"/>
      <c r="B45" s="7"/>
      <c r="C45" s="13"/>
      <c r="D45" s="12">
        <v>550</v>
      </c>
      <c r="E45" s="86">
        <v>1.31447376</v>
      </c>
      <c r="F45" s="86">
        <v>3.407153194164372</v>
      </c>
      <c r="G45" s="11">
        <f t="shared" si="51"/>
        <v>434.76790998322406</v>
      </c>
      <c r="H45">
        <f>$I$7/výber!G45</f>
        <v>2.3000777588175403</v>
      </c>
      <c r="I45">
        <f t="shared" si="52"/>
        <v>2300</v>
      </c>
      <c r="J45" s="2">
        <f t="shared" si="53"/>
        <v>1000</v>
      </c>
      <c r="K45">
        <f t="shared" si="54"/>
        <v>2400</v>
      </c>
      <c r="L45" s="2">
        <f t="shared" si="55"/>
        <v>1044</v>
      </c>
      <c r="M45" t="b">
        <f>OR(I45&lt;500,I45&gt;3000)</f>
        <v>0</v>
      </c>
      <c r="N45" t="b">
        <f>OR(K45&lt;500,K45&gt;3000)</f>
        <v>0</v>
      </c>
      <c r="P45">
        <f t="shared" si="56"/>
        <v>1000</v>
      </c>
      <c r="Q45">
        <f t="shared" si="57"/>
        <v>2300</v>
      </c>
      <c r="R45" t="b">
        <f t="shared" si="58"/>
        <v>0</v>
      </c>
      <c r="T45">
        <f t="shared" si="59"/>
        <v>1010</v>
      </c>
      <c r="U45">
        <f t="shared" si="60"/>
        <v>2600</v>
      </c>
      <c r="V45" t="b">
        <f t="shared" si="11"/>
        <v>1</v>
      </c>
      <c r="X45" s="86">
        <v>1.2649</v>
      </c>
      <c r="Y45">
        <v>3.65409698992756</v>
      </c>
      <c r="Z45" s="11">
        <f t="shared" si="12"/>
        <v>388.3521855392648</v>
      </c>
      <c r="AA45">
        <f>$I$7/výber!Z45</f>
        <v>2.5749822898805186</v>
      </c>
      <c r="AB45">
        <f t="shared" si="13"/>
        <v>2500</v>
      </c>
      <c r="AC45" s="2">
        <f>ROUNDUP(Z45*AB45/1000,0)</f>
        <v>971</v>
      </c>
      <c r="AD45">
        <f>CEILING((AA45*1000),100)</f>
        <v>2600</v>
      </c>
      <c r="AE45" s="2">
        <f>ROUNDUP(Z45*AD45/1000,0)</f>
        <v>1010</v>
      </c>
      <c r="AF45" t="b">
        <f>OR(AB45&lt;400,AB45&gt;2000)</f>
        <v>1</v>
      </c>
      <c r="AG45" t="b">
        <f>OR(AD45&lt;400,AD45&gt;2000)</f>
        <v>1</v>
      </c>
    </row>
    <row r="46" spans="4:33" ht="12.75">
      <c r="D46" s="12">
        <v>600</v>
      </c>
      <c r="E46">
        <v>1.2843</v>
      </c>
      <c r="F46">
        <v>4.0842</v>
      </c>
      <c r="G46" s="11">
        <f t="shared" si="51"/>
        <v>466.26481890086814</v>
      </c>
      <c r="H46">
        <f>$I$7/výber!G46</f>
        <v>2.144703952482009</v>
      </c>
      <c r="I46">
        <f t="shared" si="52"/>
        <v>2100</v>
      </c>
      <c r="J46" s="2">
        <f t="shared" si="53"/>
        <v>980</v>
      </c>
      <c r="K46">
        <f t="shared" si="54"/>
        <v>2200</v>
      </c>
      <c r="L46" s="2">
        <f t="shared" si="55"/>
        <v>1026</v>
      </c>
      <c r="M46" t="b">
        <f>OR(I46&lt;500,I46&gt;3000)</f>
        <v>0</v>
      </c>
      <c r="N46" t="b">
        <f>OR(K46&lt;500,K46&gt;3000)</f>
        <v>0</v>
      </c>
      <c r="P46">
        <f t="shared" si="56"/>
        <v>980</v>
      </c>
      <c r="Q46">
        <f t="shared" si="57"/>
        <v>2100</v>
      </c>
      <c r="R46" t="b">
        <f t="shared" si="58"/>
        <v>0</v>
      </c>
      <c r="T46">
        <f t="shared" si="59"/>
        <v>992</v>
      </c>
      <c r="U46">
        <f t="shared" si="60"/>
        <v>2400</v>
      </c>
      <c r="V46" t="b">
        <f t="shared" si="11"/>
        <v>1</v>
      </c>
      <c r="X46" s="86">
        <v>1.2641</v>
      </c>
      <c r="Y46">
        <v>3.900430789128174</v>
      </c>
      <c r="Z46" s="11">
        <f t="shared" si="12"/>
        <v>413.31066419264044</v>
      </c>
      <c r="AA46">
        <f>$I$7/výber!Z46</f>
        <v>2.4194875347661218</v>
      </c>
      <c r="AB46">
        <f t="shared" si="13"/>
        <v>2400</v>
      </c>
      <c r="AC46" s="2">
        <f t="shared" si="14"/>
        <v>992</v>
      </c>
      <c r="AD46">
        <f t="shared" si="15"/>
        <v>2500</v>
      </c>
      <c r="AE46" s="2">
        <f t="shared" si="16"/>
        <v>1034</v>
      </c>
      <c r="AF46" t="b">
        <f t="shared" si="17"/>
        <v>1</v>
      </c>
      <c r="AG46" t="b">
        <f t="shared" si="18"/>
        <v>1</v>
      </c>
    </row>
    <row r="47" spans="4:33" ht="12.75">
      <c r="D47" s="12">
        <v>900</v>
      </c>
      <c r="E47">
        <v>1.3216</v>
      </c>
      <c r="F47">
        <v>4.7119</v>
      </c>
      <c r="G47" s="11">
        <f t="shared" si="51"/>
        <v>617.2748028655328</v>
      </c>
      <c r="H47">
        <f>$I$7/výber!G47</f>
        <v>1.6200240077154746</v>
      </c>
      <c r="I47">
        <f t="shared" si="52"/>
        <v>1600</v>
      </c>
      <c r="J47" s="2">
        <f t="shared" si="53"/>
        <v>988</v>
      </c>
      <c r="K47">
        <f t="shared" si="54"/>
        <v>1700</v>
      </c>
      <c r="L47" s="2">
        <f t="shared" si="55"/>
        <v>1050</v>
      </c>
      <c r="M47" t="b">
        <f>OR(I47&lt;500,I47&gt;3000)</f>
        <v>0</v>
      </c>
      <c r="N47" t="b">
        <f>OR(K47&lt;500,K47&gt;3000)</f>
        <v>0</v>
      </c>
      <c r="P47">
        <f t="shared" si="56"/>
        <v>988</v>
      </c>
      <c r="Q47">
        <f t="shared" si="57"/>
        <v>1600</v>
      </c>
      <c r="R47" t="b">
        <f t="shared" si="58"/>
        <v>0</v>
      </c>
      <c r="T47">
        <f t="shared" si="59"/>
        <v>996</v>
      </c>
      <c r="U47">
        <f t="shared" si="60"/>
        <v>1800</v>
      </c>
      <c r="V47" t="b">
        <f t="shared" si="11"/>
        <v>0</v>
      </c>
      <c r="X47" s="86">
        <v>1.2757</v>
      </c>
      <c r="Y47">
        <v>4.999324239439599</v>
      </c>
      <c r="Z47" s="11">
        <f t="shared" si="12"/>
        <v>552.9160992765871</v>
      </c>
      <c r="AA47">
        <f>$I$7/výber!Z47</f>
        <v>1.8085926622653223</v>
      </c>
      <c r="AB47">
        <f t="shared" si="13"/>
        <v>1800</v>
      </c>
      <c r="AC47" s="2">
        <f t="shared" si="14"/>
        <v>996</v>
      </c>
      <c r="AD47">
        <f t="shared" si="15"/>
        <v>1900</v>
      </c>
      <c r="AE47" s="2">
        <f t="shared" si="16"/>
        <v>1051</v>
      </c>
      <c r="AF47" t="b">
        <f t="shared" si="17"/>
        <v>0</v>
      </c>
      <c r="AG47" t="b">
        <f t="shared" si="18"/>
        <v>0</v>
      </c>
    </row>
    <row r="48" spans="1:31" ht="12.75">
      <c r="A48" s="6" t="s">
        <v>156</v>
      </c>
      <c r="B48" s="7"/>
      <c r="C48" s="10"/>
      <c r="Z48" s="11"/>
      <c r="AC48" s="2"/>
      <c r="AE48" s="2"/>
    </row>
    <row r="49" spans="1:33" ht="12.75">
      <c r="A49" s="6" t="s">
        <v>6</v>
      </c>
      <c r="B49" s="7"/>
      <c r="C49" s="13">
        <f>'Výber radiátora'!$I$11</f>
        <v>65</v>
      </c>
      <c r="D49" s="12">
        <v>300</v>
      </c>
      <c r="E49" s="106">
        <v>1.263</v>
      </c>
      <c r="F49">
        <v>3.99588234555821</v>
      </c>
      <c r="G49" s="11">
        <f aca="true" t="shared" si="61" ref="G49:G54">IF($E$7&lt;0.7,F49*$E$9^E49,F49*$E$8^E49)</f>
        <v>421.71054562286474</v>
      </c>
      <c r="H49">
        <f>$I$7/výber!G49</f>
        <v>2.371294743229634</v>
      </c>
      <c r="I49">
        <f aca="true" t="shared" si="62" ref="I49:I54">FLOOR(H49*1000,100)</f>
        <v>2300</v>
      </c>
      <c r="J49" s="2">
        <f aca="true" t="shared" si="63" ref="J49:J54">ROUNDUP(G49*I49/1000,0)</f>
        <v>970</v>
      </c>
      <c r="K49">
        <f aca="true" t="shared" si="64" ref="K49:K54">CEILING((H49*1000),100)</f>
        <v>2400</v>
      </c>
      <c r="L49" s="2">
        <f aca="true" t="shared" si="65" ref="L49:L54">ROUNDUP(G49*K49/1000,0)</f>
        <v>1013</v>
      </c>
      <c r="M49" t="b">
        <f aca="true" t="shared" si="66" ref="M49:M54">OR(I49&lt;400,I49&gt;3000)</f>
        <v>0</v>
      </c>
      <c r="N49" t="b">
        <f aca="true" t="shared" si="67" ref="N49:N54">OR(K49&lt;400,K49&gt;3000)</f>
        <v>0</v>
      </c>
      <c r="P49">
        <f aca="true" t="shared" si="68" ref="P49:P54">IF(ABS($I$7-J49)&lt;ABS($I$7-L49),J49,L49)</f>
        <v>1013</v>
      </c>
      <c r="Q49">
        <f aca="true" t="shared" si="69" ref="Q49:Q54">IF(ABS($I$7-J49)&lt;ABS($I$7-L49),I49,K49)</f>
        <v>2400</v>
      </c>
      <c r="R49" t="b">
        <f aca="true" t="shared" si="70" ref="R49:R54">OR(Q49&lt;400,Q49&gt;3000)</f>
        <v>0</v>
      </c>
      <c r="T49">
        <f aca="true" t="shared" si="71" ref="T49:T54">IF(ABS($I$7-AC49)&lt;ABS($I$7-AE49),AC49,AE49)</f>
        <v>1004</v>
      </c>
      <c r="U49">
        <f aca="true" t="shared" si="72" ref="U49:U54">IF(ABS($I$7-AC49)&lt;ABS($I$7-AE49),AB49,AD49)</f>
        <v>2600</v>
      </c>
      <c r="V49" t="b">
        <f t="shared" si="11"/>
        <v>1</v>
      </c>
      <c r="X49">
        <v>1.2547</v>
      </c>
      <c r="Y49">
        <v>3.770974610438571</v>
      </c>
      <c r="Z49" s="11">
        <f t="shared" si="12"/>
        <v>385.9742033316482</v>
      </c>
      <c r="AA49">
        <f>$I$7/výber!Z49</f>
        <v>2.5908467233514836</v>
      </c>
      <c r="AB49">
        <f t="shared" si="13"/>
        <v>2500</v>
      </c>
      <c r="AC49" s="2">
        <f t="shared" si="14"/>
        <v>965</v>
      </c>
      <c r="AD49">
        <f t="shared" si="15"/>
        <v>2600</v>
      </c>
      <c r="AE49" s="2">
        <f t="shared" si="16"/>
        <v>1004</v>
      </c>
      <c r="AF49" t="b">
        <f t="shared" si="17"/>
        <v>1</v>
      </c>
      <c r="AG49" t="b">
        <f t="shared" si="18"/>
        <v>1</v>
      </c>
    </row>
    <row r="50" spans="1:33" ht="12.75">
      <c r="A50" s="6" t="s">
        <v>7</v>
      </c>
      <c r="B50" s="7"/>
      <c r="C50" s="13">
        <f>'Výber radiátora'!$I$13</f>
        <v>55</v>
      </c>
      <c r="D50" s="12">
        <v>400</v>
      </c>
      <c r="E50" s="107">
        <v>1.2693</v>
      </c>
      <c r="F50">
        <v>4.861050709765689</v>
      </c>
      <c r="G50" s="11">
        <f t="shared" si="61"/>
        <v>525.0793011936466</v>
      </c>
      <c r="H50">
        <f>$I$7/výber!G50</f>
        <v>1.9044742341332648</v>
      </c>
      <c r="I50">
        <f t="shared" si="62"/>
        <v>1900</v>
      </c>
      <c r="J50" s="2">
        <f t="shared" si="63"/>
        <v>998</v>
      </c>
      <c r="K50">
        <f t="shared" si="64"/>
        <v>2000</v>
      </c>
      <c r="L50" s="2">
        <f t="shared" si="65"/>
        <v>1051</v>
      </c>
      <c r="M50" t="b">
        <f t="shared" si="66"/>
        <v>0</v>
      </c>
      <c r="N50" t="b">
        <f t="shared" si="67"/>
        <v>0</v>
      </c>
      <c r="P50">
        <f t="shared" si="68"/>
        <v>998</v>
      </c>
      <c r="Q50">
        <f t="shared" si="69"/>
        <v>1900</v>
      </c>
      <c r="R50" t="b">
        <f t="shared" si="70"/>
        <v>0</v>
      </c>
      <c r="T50">
        <f t="shared" si="71"/>
        <v>1023</v>
      </c>
      <c r="U50">
        <f t="shared" si="72"/>
        <v>2100</v>
      </c>
      <c r="V50" t="b">
        <f t="shared" si="11"/>
        <v>1</v>
      </c>
      <c r="X50">
        <v>1.2595</v>
      </c>
      <c r="Y50">
        <v>4.67216397226752</v>
      </c>
      <c r="Z50" s="11">
        <f t="shared" si="12"/>
        <v>486.75748136511805</v>
      </c>
      <c r="AA50">
        <f>$I$7/výber!Z50</f>
        <v>2.054411156035006</v>
      </c>
      <c r="AB50">
        <f t="shared" si="13"/>
        <v>2000</v>
      </c>
      <c r="AC50" s="2">
        <f t="shared" si="14"/>
        <v>974</v>
      </c>
      <c r="AD50">
        <f t="shared" si="15"/>
        <v>2100</v>
      </c>
      <c r="AE50" s="2">
        <f t="shared" si="16"/>
        <v>1023</v>
      </c>
      <c r="AF50" t="b">
        <f t="shared" si="17"/>
        <v>0</v>
      </c>
      <c r="AG50" t="b">
        <f t="shared" si="18"/>
        <v>1</v>
      </c>
    </row>
    <row r="51" spans="1:33" ht="12.75">
      <c r="A51" s="6" t="s">
        <v>8</v>
      </c>
      <c r="B51" s="7"/>
      <c r="C51" s="13">
        <f>'Výber radiátora'!$I$9</f>
        <v>20</v>
      </c>
      <c r="D51" s="12">
        <v>500</v>
      </c>
      <c r="E51" s="106">
        <v>1.2755</v>
      </c>
      <c r="F51">
        <v>5.663528440690109</v>
      </c>
      <c r="G51" s="11">
        <f t="shared" si="61"/>
        <v>625.9139121523827</v>
      </c>
      <c r="H51">
        <f>$I$7/výber!G51</f>
        <v>1.5976638010189228</v>
      </c>
      <c r="I51">
        <f t="shared" si="62"/>
        <v>1500</v>
      </c>
      <c r="J51" s="2">
        <f t="shared" si="63"/>
        <v>939</v>
      </c>
      <c r="K51">
        <f t="shared" si="64"/>
        <v>1600</v>
      </c>
      <c r="L51" s="2">
        <f t="shared" si="65"/>
        <v>1002</v>
      </c>
      <c r="M51" t="b">
        <f t="shared" si="66"/>
        <v>0</v>
      </c>
      <c r="N51" t="b">
        <f t="shared" si="67"/>
        <v>0</v>
      </c>
      <c r="P51">
        <f t="shared" si="68"/>
        <v>1002</v>
      </c>
      <c r="Q51">
        <f t="shared" si="69"/>
        <v>1600</v>
      </c>
      <c r="R51" t="b">
        <f t="shared" si="70"/>
        <v>0</v>
      </c>
      <c r="T51">
        <f t="shared" si="71"/>
        <v>990</v>
      </c>
      <c r="U51">
        <f t="shared" si="72"/>
        <v>1700</v>
      </c>
      <c r="V51" t="b">
        <f t="shared" si="11"/>
        <v>0</v>
      </c>
      <c r="X51">
        <v>1.2642</v>
      </c>
      <c r="Y51">
        <v>5.492928216729248</v>
      </c>
      <c r="Z51" s="11">
        <f t="shared" si="12"/>
        <v>582.2750275442374</v>
      </c>
      <c r="AA51">
        <f>$I$7/výber!Z51</f>
        <v>1.7174014901815904</v>
      </c>
      <c r="AB51">
        <f t="shared" si="13"/>
        <v>1700</v>
      </c>
      <c r="AC51" s="2">
        <f t="shared" si="14"/>
        <v>990</v>
      </c>
      <c r="AD51">
        <f t="shared" si="15"/>
        <v>1800</v>
      </c>
      <c r="AE51" s="2">
        <f t="shared" si="16"/>
        <v>1049</v>
      </c>
      <c r="AF51" t="b">
        <f t="shared" si="17"/>
        <v>0</v>
      </c>
      <c r="AG51" t="b">
        <f t="shared" si="18"/>
        <v>0</v>
      </c>
    </row>
    <row r="52" spans="1:33" ht="12.75">
      <c r="A52" s="6"/>
      <c r="B52" s="7"/>
      <c r="C52" s="13"/>
      <c r="D52" s="12">
        <v>550</v>
      </c>
      <c r="E52" s="106">
        <v>1.2776</v>
      </c>
      <c r="F52">
        <v>6.103294874147058</v>
      </c>
      <c r="G52" s="11">
        <f t="shared" si="61"/>
        <v>679.7609275588861</v>
      </c>
      <c r="H52">
        <f>$I$7/výber!G52</f>
        <v>1.4711054423076888</v>
      </c>
      <c r="I52">
        <f t="shared" si="62"/>
        <v>1400</v>
      </c>
      <c r="J52" s="2">
        <f t="shared" si="63"/>
        <v>952</v>
      </c>
      <c r="K52">
        <f t="shared" si="64"/>
        <v>1500</v>
      </c>
      <c r="L52" s="2">
        <f t="shared" si="65"/>
        <v>1020</v>
      </c>
      <c r="M52" t="b">
        <f t="shared" si="66"/>
        <v>0</v>
      </c>
      <c r="N52" t="b">
        <f t="shared" si="67"/>
        <v>0</v>
      </c>
      <c r="P52">
        <f t="shared" si="68"/>
        <v>1020</v>
      </c>
      <c r="Q52">
        <f t="shared" si="69"/>
        <v>1500</v>
      </c>
      <c r="R52" t="b">
        <f t="shared" si="70"/>
        <v>0</v>
      </c>
      <c r="T52">
        <f t="shared" si="71"/>
        <v>1012</v>
      </c>
      <c r="U52">
        <f t="shared" si="72"/>
        <v>1600</v>
      </c>
      <c r="V52" t="b">
        <f t="shared" si="11"/>
        <v>0</v>
      </c>
      <c r="X52">
        <v>1.2668</v>
      </c>
      <c r="Y52">
        <v>5.905729271899769</v>
      </c>
      <c r="Z52" s="11">
        <f t="shared" si="12"/>
        <v>632.0670215245505</v>
      </c>
      <c r="AA52">
        <f>$I$7/výber!Z52</f>
        <v>1.5821107033681214</v>
      </c>
      <c r="AB52">
        <f t="shared" si="13"/>
        <v>1500</v>
      </c>
      <c r="AC52" s="2">
        <f>ROUNDUP(Z52*AB52/1000,0)</f>
        <v>949</v>
      </c>
      <c r="AD52">
        <f>CEILING((AA52*1000),100)</f>
        <v>1600</v>
      </c>
      <c r="AE52" s="2">
        <f>ROUNDUP(Z52*AD52/1000,0)</f>
        <v>1012</v>
      </c>
      <c r="AF52" t="b">
        <f>OR(AB52&lt;400,AB52&gt;2000)</f>
        <v>0</v>
      </c>
      <c r="AG52" t="b">
        <f>OR(AD52&lt;400,AD52&gt;2000)</f>
        <v>0</v>
      </c>
    </row>
    <row r="53" spans="4:33" ht="12.75">
      <c r="D53" s="12">
        <v>600</v>
      </c>
      <c r="E53" s="106">
        <v>1.2818</v>
      </c>
      <c r="F53">
        <v>6.415601420244847</v>
      </c>
      <c r="G53" s="11">
        <f t="shared" si="61"/>
        <v>725.7012510018338</v>
      </c>
      <c r="H53">
        <f>$I$7/výber!G53</f>
        <v>1.377977506059822</v>
      </c>
      <c r="I53">
        <f t="shared" si="62"/>
        <v>1300</v>
      </c>
      <c r="J53" s="2">
        <f t="shared" si="63"/>
        <v>944</v>
      </c>
      <c r="K53">
        <f t="shared" si="64"/>
        <v>1400</v>
      </c>
      <c r="L53" s="2">
        <f t="shared" si="65"/>
        <v>1016</v>
      </c>
      <c r="M53" t="b">
        <f t="shared" si="66"/>
        <v>0</v>
      </c>
      <c r="N53" t="b">
        <f t="shared" si="67"/>
        <v>0</v>
      </c>
      <c r="P53">
        <f t="shared" si="68"/>
        <v>1016</v>
      </c>
      <c r="Q53">
        <f t="shared" si="69"/>
        <v>1400</v>
      </c>
      <c r="R53" t="b">
        <f t="shared" si="70"/>
        <v>0</v>
      </c>
      <c r="T53">
        <f t="shared" si="71"/>
        <v>1011</v>
      </c>
      <c r="U53">
        <f t="shared" si="72"/>
        <v>1500</v>
      </c>
      <c r="V53" t="b">
        <f t="shared" si="11"/>
        <v>0</v>
      </c>
      <c r="X53">
        <v>1.269</v>
      </c>
      <c r="Y53">
        <v>6.24315972402152</v>
      </c>
      <c r="Z53" s="11">
        <f t="shared" si="12"/>
        <v>673.6255869077137</v>
      </c>
      <c r="AA53">
        <f>$I$7/výber!Z53</f>
        <v>1.484504180713372</v>
      </c>
      <c r="AB53">
        <f t="shared" si="13"/>
        <v>1400</v>
      </c>
      <c r="AC53" s="2">
        <f t="shared" si="14"/>
        <v>944</v>
      </c>
      <c r="AD53">
        <f t="shared" si="15"/>
        <v>1500</v>
      </c>
      <c r="AE53" s="2">
        <f t="shared" si="16"/>
        <v>1011</v>
      </c>
      <c r="AF53" t="b">
        <f t="shared" si="17"/>
        <v>0</v>
      </c>
      <c r="AG53" t="b">
        <f t="shared" si="18"/>
        <v>0</v>
      </c>
    </row>
    <row r="54" spans="4:33" ht="12.75">
      <c r="D54" s="12">
        <v>900</v>
      </c>
      <c r="E54" s="106">
        <v>1.3094</v>
      </c>
      <c r="F54">
        <v>8.161540206658673</v>
      </c>
      <c r="G54" s="11">
        <f t="shared" si="61"/>
        <v>1022.1378652775271</v>
      </c>
      <c r="H54">
        <f>$I$7/výber!G54</f>
        <v>0.9783416053454626</v>
      </c>
      <c r="I54">
        <f t="shared" si="62"/>
        <v>900</v>
      </c>
      <c r="J54" s="2">
        <f t="shared" si="63"/>
        <v>920</v>
      </c>
      <c r="K54">
        <f t="shared" si="64"/>
        <v>1000</v>
      </c>
      <c r="L54" s="2">
        <f t="shared" si="65"/>
        <v>1023</v>
      </c>
      <c r="M54" t="b">
        <f t="shared" si="66"/>
        <v>0</v>
      </c>
      <c r="N54" t="b">
        <f t="shared" si="67"/>
        <v>0</v>
      </c>
      <c r="P54">
        <f t="shared" si="68"/>
        <v>1023</v>
      </c>
      <c r="Q54">
        <f t="shared" si="69"/>
        <v>1000</v>
      </c>
      <c r="R54" t="b">
        <f t="shared" si="70"/>
        <v>0</v>
      </c>
      <c r="T54">
        <f t="shared" si="71"/>
        <v>1020</v>
      </c>
      <c r="U54">
        <f t="shared" si="72"/>
        <v>1100</v>
      </c>
      <c r="V54" t="b">
        <f t="shared" si="11"/>
        <v>0</v>
      </c>
      <c r="X54">
        <v>1.2956</v>
      </c>
      <c r="Y54">
        <v>7.783310604940304</v>
      </c>
      <c r="Z54" s="11">
        <f t="shared" si="12"/>
        <v>926.3887806577144</v>
      </c>
      <c r="AA54">
        <f>$I$7/výber!Z54</f>
        <v>1.079460395979778</v>
      </c>
      <c r="AB54">
        <f t="shared" si="13"/>
        <v>1000</v>
      </c>
      <c r="AC54" s="2">
        <f t="shared" si="14"/>
        <v>927</v>
      </c>
      <c r="AD54">
        <f t="shared" si="15"/>
        <v>1100</v>
      </c>
      <c r="AE54" s="2">
        <f t="shared" si="16"/>
        <v>1020</v>
      </c>
      <c r="AF54" t="b">
        <f t="shared" si="17"/>
        <v>0</v>
      </c>
      <c r="AG54" t="b">
        <f t="shared" si="18"/>
        <v>0</v>
      </c>
    </row>
    <row r="55" spans="1:31" ht="12.75">
      <c r="A55" s="6" t="s">
        <v>17</v>
      </c>
      <c r="B55" s="7"/>
      <c r="C55" s="10"/>
      <c r="Z55" s="11"/>
      <c r="AC55" s="2"/>
      <c r="AE55" s="2"/>
    </row>
    <row r="56" spans="1:33" ht="12.75">
      <c r="A56" s="6" t="s">
        <v>6</v>
      </c>
      <c r="B56" s="7"/>
      <c r="C56" s="13">
        <f>'Výber radiátora'!$I$11</f>
        <v>65</v>
      </c>
      <c r="D56" s="12">
        <v>300</v>
      </c>
      <c r="E56">
        <v>1.2831</v>
      </c>
      <c r="F56">
        <v>5.4712</v>
      </c>
      <c r="G56" s="11">
        <f aca="true" t="shared" si="73" ref="G56:G61">IF($E$7&lt;0.7,F56*$E$9^E56,F56*$E$8^E56)</f>
        <v>621.8501817516025</v>
      </c>
      <c r="H56">
        <f>$I$7/výber!G56</f>
        <v>1.6081043784263926</v>
      </c>
      <c r="I56">
        <f aca="true" t="shared" si="74" ref="I56:I61">FLOOR(H56*1000,100)</f>
        <v>1600</v>
      </c>
      <c r="J56" s="2">
        <f aca="true" t="shared" si="75" ref="J56:J61">ROUNDUP(G56*I56/1000,0)</f>
        <v>995</v>
      </c>
      <c r="K56">
        <f aca="true" t="shared" si="76" ref="K56:K61">CEILING((H56*1000),100)</f>
        <v>1700</v>
      </c>
      <c r="L56" s="2">
        <f aca="true" t="shared" si="77" ref="L56:L61">ROUNDUP(G56*K56/1000,0)</f>
        <v>1058</v>
      </c>
      <c r="M56" t="b">
        <f aca="true" t="shared" si="78" ref="M56:M61">OR(I56&lt;400,I56&gt;3000)</f>
        <v>0</v>
      </c>
      <c r="N56" t="b">
        <f aca="true" t="shared" si="79" ref="N56:N61">OR(K56&lt;400,K56&gt;3000)</f>
        <v>0</v>
      </c>
      <c r="P56">
        <f aca="true" t="shared" si="80" ref="P56:P61">IF(ABS($I$7-J56)&lt;ABS($I$7-L56),J56,L56)</f>
        <v>995</v>
      </c>
      <c r="Q56">
        <f aca="true" t="shared" si="81" ref="Q56:Q61">IF(ABS($I$7-J56)&lt;ABS($I$7-L56),I56,K56)</f>
        <v>1600</v>
      </c>
      <c r="R56" t="b">
        <f aca="true" t="shared" si="82" ref="R56:R61">OR(Q56&lt;400,Q56&gt;3000)</f>
        <v>0</v>
      </c>
      <c r="T56">
        <f aca="true" t="shared" si="83" ref="T56:T61">IF(ABS($I$7-AC56)&lt;ABS($I$7-AE56),AC56,AE56)</f>
        <v>1001</v>
      </c>
      <c r="U56">
        <f aca="true" t="shared" si="84" ref="U56:U61">IF(ABS($I$7-AC56)&lt;ABS($I$7-AE56),AB56,AD56)</f>
        <v>1700</v>
      </c>
      <c r="V56" t="b">
        <f t="shared" si="11"/>
        <v>0</v>
      </c>
      <c r="X56">
        <v>1.2911</v>
      </c>
      <c r="Y56">
        <v>5.026989676998801</v>
      </c>
      <c r="Z56" s="11">
        <f t="shared" si="12"/>
        <v>588.4744994958478</v>
      </c>
      <c r="AA56">
        <f>$I$7/výber!Z56</f>
        <v>1.6993089774607233</v>
      </c>
      <c r="AB56">
        <f t="shared" si="13"/>
        <v>1600</v>
      </c>
      <c r="AC56" s="2">
        <f t="shared" si="14"/>
        <v>942</v>
      </c>
      <c r="AD56">
        <f t="shared" si="15"/>
        <v>1700</v>
      </c>
      <c r="AE56" s="2">
        <f t="shared" si="16"/>
        <v>1001</v>
      </c>
      <c r="AF56" t="b">
        <f t="shared" si="17"/>
        <v>0</v>
      </c>
      <c r="AG56" t="b">
        <f t="shared" si="18"/>
        <v>0</v>
      </c>
    </row>
    <row r="57" spans="1:33" ht="12.75">
      <c r="A57" s="6" t="s">
        <v>7</v>
      </c>
      <c r="B57" s="7"/>
      <c r="C57" s="13">
        <f>'Výber radiátora'!$I$13</f>
        <v>55</v>
      </c>
      <c r="D57" s="12">
        <v>400</v>
      </c>
      <c r="E57">
        <v>1.2939</v>
      </c>
      <c r="F57">
        <v>6.6131</v>
      </c>
      <c r="G57" s="11">
        <f t="shared" si="73"/>
        <v>782.1868541950163</v>
      </c>
      <c r="H57">
        <f>$I$7/výber!G57</f>
        <v>1.278466896543723</v>
      </c>
      <c r="I57">
        <f t="shared" si="74"/>
        <v>1200</v>
      </c>
      <c r="J57" s="2">
        <f t="shared" si="75"/>
        <v>939</v>
      </c>
      <c r="K57">
        <f t="shared" si="76"/>
        <v>1300</v>
      </c>
      <c r="L57" s="2">
        <f t="shared" si="77"/>
        <v>1017</v>
      </c>
      <c r="M57" t="b">
        <f t="shared" si="78"/>
        <v>0</v>
      </c>
      <c r="N57" t="b">
        <f t="shared" si="79"/>
        <v>0</v>
      </c>
      <c r="P57">
        <f t="shared" si="80"/>
        <v>1017</v>
      </c>
      <c r="Q57">
        <f t="shared" si="81"/>
        <v>1300</v>
      </c>
      <c r="R57" t="b">
        <f t="shared" si="82"/>
        <v>0</v>
      </c>
      <c r="T57">
        <f t="shared" si="83"/>
        <v>1030</v>
      </c>
      <c r="U57">
        <f t="shared" si="84"/>
        <v>1400</v>
      </c>
      <c r="V57" t="b">
        <f t="shared" si="11"/>
        <v>0</v>
      </c>
      <c r="X57">
        <v>1.293</v>
      </c>
      <c r="Y57">
        <v>6.2407351688192225</v>
      </c>
      <c r="Z57" s="11">
        <f t="shared" si="12"/>
        <v>735.6975708613887</v>
      </c>
      <c r="AA57">
        <f>$I$7/výber!Z57</f>
        <v>1.3592541821623167</v>
      </c>
      <c r="AB57">
        <f t="shared" si="13"/>
        <v>1300</v>
      </c>
      <c r="AC57" s="2">
        <f t="shared" si="14"/>
        <v>957</v>
      </c>
      <c r="AD57">
        <f t="shared" si="15"/>
        <v>1400</v>
      </c>
      <c r="AE57" s="2">
        <f t="shared" si="16"/>
        <v>1030</v>
      </c>
      <c r="AF57" t="b">
        <f t="shared" si="17"/>
        <v>0</v>
      </c>
      <c r="AG57" t="b">
        <f t="shared" si="18"/>
        <v>0</v>
      </c>
    </row>
    <row r="58" spans="1:33" ht="12.75">
      <c r="A58" s="6" t="s">
        <v>8</v>
      </c>
      <c r="B58" s="7"/>
      <c r="C58" s="13">
        <f>'Výber radiátora'!$I$9</f>
        <v>20</v>
      </c>
      <c r="D58" s="12">
        <v>500</v>
      </c>
      <c r="E58">
        <v>1.3048</v>
      </c>
      <c r="F58">
        <v>7.6056</v>
      </c>
      <c r="G58" s="11">
        <f t="shared" si="73"/>
        <v>936.4861473068029</v>
      </c>
      <c r="H58">
        <f>$I$7/výber!G58</f>
        <v>1.067821454568072</v>
      </c>
      <c r="I58">
        <f t="shared" si="74"/>
        <v>1000</v>
      </c>
      <c r="J58" s="2">
        <f t="shared" si="75"/>
        <v>937</v>
      </c>
      <c r="K58">
        <f t="shared" si="76"/>
        <v>1100</v>
      </c>
      <c r="L58" s="2">
        <f t="shared" si="77"/>
        <v>1031</v>
      </c>
      <c r="M58" t="b">
        <f t="shared" si="78"/>
        <v>0</v>
      </c>
      <c r="N58" t="b">
        <f t="shared" si="79"/>
        <v>0</v>
      </c>
      <c r="P58">
        <f t="shared" si="80"/>
        <v>1031</v>
      </c>
      <c r="Q58">
        <f t="shared" si="81"/>
        <v>1100</v>
      </c>
      <c r="R58" t="b">
        <f t="shared" si="82"/>
        <v>0</v>
      </c>
      <c r="T58">
        <f t="shared" si="83"/>
        <v>966</v>
      </c>
      <c r="U58">
        <f t="shared" si="84"/>
        <v>1100</v>
      </c>
      <c r="V58" t="b">
        <f t="shared" si="11"/>
        <v>0</v>
      </c>
      <c r="X58">
        <v>1.295</v>
      </c>
      <c r="Y58">
        <v>7.389393155533554</v>
      </c>
      <c r="Z58" s="11">
        <f t="shared" si="12"/>
        <v>877.5592791875587</v>
      </c>
      <c r="AA58">
        <f>$I$7/výber!Z58</f>
        <v>1.1395241594685166</v>
      </c>
      <c r="AB58">
        <f t="shared" si="13"/>
        <v>1100</v>
      </c>
      <c r="AC58" s="2">
        <f t="shared" si="14"/>
        <v>966</v>
      </c>
      <c r="AD58">
        <f t="shared" si="15"/>
        <v>1200</v>
      </c>
      <c r="AE58" s="2">
        <f t="shared" si="16"/>
        <v>1054</v>
      </c>
      <c r="AF58" t="b">
        <f t="shared" si="17"/>
        <v>0</v>
      </c>
      <c r="AG58" t="b">
        <f t="shared" si="18"/>
        <v>0</v>
      </c>
    </row>
    <row r="59" spans="1:33" ht="12.75">
      <c r="A59" s="6"/>
      <c r="B59" s="7"/>
      <c r="C59" s="13"/>
      <c r="D59" s="12">
        <v>550</v>
      </c>
      <c r="E59">
        <v>1.3053</v>
      </c>
      <c r="F59">
        <v>8.256589633357617</v>
      </c>
      <c r="G59" s="11">
        <f t="shared" si="73"/>
        <v>1018.5201061484178</v>
      </c>
      <c r="H59">
        <f>$I$7/výber!G59</f>
        <v>0.9818166513978281</v>
      </c>
      <c r="I59">
        <f t="shared" si="74"/>
        <v>900</v>
      </c>
      <c r="J59" s="2">
        <f t="shared" si="75"/>
        <v>917</v>
      </c>
      <c r="K59">
        <f t="shared" si="76"/>
        <v>1000</v>
      </c>
      <c r="L59" s="2">
        <f t="shared" si="77"/>
        <v>1019</v>
      </c>
      <c r="M59" t="b">
        <f t="shared" si="78"/>
        <v>0</v>
      </c>
      <c r="N59" t="b">
        <f t="shared" si="79"/>
        <v>0</v>
      </c>
      <c r="P59">
        <f t="shared" si="80"/>
        <v>1019</v>
      </c>
      <c r="Q59">
        <f t="shared" si="81"/>
        <v>1000</v>
      </c>
      <c r="R59" t="b">
        <f t="shared" si="82"/>
        <v>0</v>
      </c>
      <c r="T59">
        <f t="shared" si="83"/>
        <v>953</v>
      </c>
      <c r="U59">
        <f t="shared" si="84"/>
        <v>1000</v>
      </c>
      <c r="V59" t="b">
        <f t="shared" si="11"/>
        <v>0</v>
      </c>
      <c r="X59">
        <v>1.296</v>
      </c>
      <c r="Y59">
        <v>7.992808039963665</v>
      </c>
      <c r="Z59" s="11">
        <f t="shared" si="12"/>
        <v>952.7284443843084</v>
      </c>
      <c r="AA59">
        <f>$I$7/výber!Z59</f>
        <v>1.0496170297993364</v>
      </c>
      <c r="AB59">
        <f t="shared" si="13"/>
        <v>1000</v>
      </c>
      <c r="AC59" s="2">
        <f>ROUNDUP(Z59*AB59/1000,0)</f>
        <v>953</v>
      </c>
      <c r="AD59">
        <f>CEILING((AA59*1000),100)</f>
        <v>1100</v>
      </c>
      <c r="AE59" s="2">
        <f>ROUNDUP(Z59*AD59/1000,0)</f>
        <v>1049</v>
      </c>
      <c r="AF59" t="b">
        <f>OR(AB59&lt;400,AB59&gt;2000)</f>
        <v>0</v>
      </c>
      <c r="AG59" t="b">
        <f>OR(AD59&lt;400,AD59&gt;2000)</f>
        <v>0</v>
      </c>
    </row>
    <row r="60" spans="4:33" ht="12.75">
      <c r="D60" s="12">
        <v>600</v>
      </c>
      <c r="E60">
        <v>1.3156</v>
      </c>
      <c r="F60">
        <v>8.4664</v>
      </c>
      <c r="G60" s="11">
        <f t="shared" si="73"/>
        <v>1084.8480375735328</v>
      </c>
      <c r="H60">
        <f>$I$7/výber!G60</f>
        <v>0.9217880895435719</v>
      </c>
      <c r="I60">
        <f t="shared" si="74"/>
        <v>900</v>
      </c>
      <c r="J60" s="2">
        <f t="shared" si="75"/>
        <v>977</v>
      </c>
      <c r="K60">
        <f t="shared" si="76"/>
        <v>1000</v>
      </c>
      <c r="L60" s="2">
        <f t="shared" si="77"/>
        <v>1085</v>
      </c>
      <c r="M60" t="b">
        <f t="shared" si="78"/>
        <v>0</v>
      </c>
      <c r="N60" t="b">
        <f t="shared" si="79"/>
        <v>0</v>
      </c>
      <c r="P60">
        <f t="shared" si="80"/>
        <v>977</v>
      </c>
      <c r="Q60">
        <f t="shared" si="81"/>
        <v>900</v>
      </c>
      <c r="R60" t="b">
        <f t="shared" si="82"/>
        <v>0</v>
      </c>
      <c r="T60">
        <f t="shared" si="83"/>
        <v>1017</v>
      </c>
      <c r="U60">
        <f t="shared" si="84"/>
        <v>1000</v>
      </c>
      <c r="V60" t="b">
        <f t="shared" si="11"/>
        <v>0</v>
      </c>
      <c r="X60">
        <v>1.2969</v>
      </c>
      <c r="Y60">
        <v>8.496847880249184</v>
      </c>
      <c r="Z60" s="11">
        <f t="shared" si="12"/>
        <v>1016.1771987419036</v>
      </c>
      <c r="AA60">
        <f>$I$7/výber!Z60</f>
        <v>0.9840803368133707</v>
      </c>
      <c r="AB60">
        <f t="shared" si="13"/>
        <v>900</v>
      </c>
      <c r="AC60" s="2">
        <f t="shared" si="14"/>
        <v>915</v>
      </c>
      <c r="AD60">
        <f t="shared" si="15"/>
        <v>1000</v>
      </c>
      <c r="AE60" s="2">
        <f t="shared" si="16"/>
        <v>1017</v>
      </c>
      <c r="AF60" t="b">
        <f t="shared" si="17"/>
        <v>0</v>
      </c>
      <c r="AG60" t="b">
        <f t="shared" si="18"/>
        <v>0</v>
      </c>
    </row>
    <row r="61" spans="4:33" ht="12.75">
      <c r="D61" s="12">
        <v>900</v>
      </c>
      <c r="E61">
        <v>1.3192</v>
      </c>
      <c r="F61">
        <v>11.7044</v>
      </c>
      <c r="G61" s="11">
        <f t="shared" si="73"/>
        <v>1519.8008953375613</v>
      </c>
      <c r="H61">
        <f>$I$7/výber!G61</f>
        <v>0.6579809257040153</v>
      </c>
      <c r="I61">
        <f t="shared" si="74"/>
        <v>600</v>
      </c>
      <c r="J61" s="2">
        <f t="shared" si="75"/>
        <v>912</v>
      </c>
      <c r="K61">
        <f t="shared" si="76"/>
        <v>700</v>
      </c>
      <c r="L61" s="2">
        <f t="shared" si="77"/>
        <v>1064</v>
      </c>
      <c r="M61" t="b">
        <f t="shared" si="78"/>
        <v>0</v>
      </c>
      <c r="N61" t="b">
        <f t="shared" si="79"/>
        <v>0</v>
      </c>
      <c r="P61">
        <f t="shared" si="80"/>
        <v>1064</v>
      </c>
      <c r="Q61">
        <f t="shared" si="81"/>
        <v>700</v>
      </c>
      <c r="R61" t="b">
        <f t="shared" si="82"/>
        <v>0</v>
      </c>
      <c r="T61">
        <f t="shared" si="83"/>
        <v>995</v>
      </c>
      <c r="U61">
        <f t="shared" si="84"/>
        <v>700</v>
      </c>
      <c r="V61" t="b">
        <f t="shared" si="11"/>
        <v>0</v>
      </c>
      <c r="X61">
        <v>1.3116</v>
      </c>
      <c r="Y61">
        <v>11.251771803298315</v>
      </c>
      <c r="Z61" s="11">
        <f t="shared" si="12"/>
        <v>1420.6359492041718</v>
      </c>
      <c r="AA61">
        <f>$I$7/výber!Z61</f>
        <v>0.7039101048795728</v>
      </c>
      <c r="AB61">
        <f t="shared" si="13"/>
        <v>700</v>
      </c>
      <c r="AC61" s="2">
        <f t="shared" si="14"/>
        <v>995</v>
      </c>
      <c r="AD61">
        <f t="shared" si="15"/>
        <v>800</v>
      </c>
      <c r="AE61" s="2">
        <f t="shared" si="16"/>
        <v>1137</v>
      </c>
      <c r="AF61" t="b">
        <f t="shared" si="17"/>
        <v>0</v>
      </c>
      <c r="AG61" t="b">
        <f t="shared" si="18"/>
        <v>0</v>
      </c>
    </row>
    <row r="62" spans="1:2" ht="12.75">
      <c r="A62" s="6" t="s">
        <v>157</v>
      </c>
      <c r="B62" s="7"/>
    </row>
    <row r="63" spans="1:33" ht="12.75">
      <c r="A63" s="6" t="s">
        <v>6</v>
      </c>
      <c r="B63" s="7"/>
      <c r="D63" s="12">
        <v>300</v>
      </c>
      <c r="E63">
        <v>1.2897</v>
      </c>
      <c r="F63">
        <v>3.9408491185457177</v>
      </c>
      <c r="G63" s="11">
        <f aca="true" t="shared" si="85" ref="G63:G68">IF($E$7&lt;0.7,F63*$E$9^E63,F63*$E$8^E63)</f>
        <v>458.9512725403644</v>
      </c>
      <c r="H63">
        <f>$I$7/výber!G63</f>
        <v>2.1788805475249027</v>
      </c>
      <c r="I63">
        <f aca="true" t="shared" si="86" ref="I63:I68">FLOOR(H63*1000,100)</f>
        <v>2100</v>
      </c>
      <c r="J63" s="2">
        <f aca="true" t="shared" si="87" ref="J63:J68">ROUNDUP(G63*I63/1000,0)</f>
        <v>964</v>
      </c>
      <c r="K63">
        <f aca="true" t="shared" si="88" ref="K63:K68">CEILING((H63*1000),100)</f>
        <v>2200</v>
      </c>
      <c r="L63" s="2">
        <f aca="true" t="shared" si="89" ref="L63:L68">ROUNDUP(G63*K63/1000,0)</f>
        <v>1010</v>
      </c>
      <c r="M63" t="b">
        <f aca="true" t="shared" si="90" ref="M63:M68">OR(I63&lt;400,I63&gt;3000)</f>
        <v>0</v>
      </c>
      <c r="N63" t="b">
        <f aca="true" t="shared" si="91" ref="N63:N68">OR(K63&lt;400,K63&gt;3000)</f>
        <v>0</v>
      </c>
      <c r="P63">
        <f aca="true" t="shared" si="92" ref="P63:P68">IF(ABS($I$7-J63)&lt;ABS($I$7-L63),J63,L63)</f>
        <v>1010</v>
      </c>
      <c r="Q63">
        <f aca="true" t="shared" si="93" ref="Q63:Q68">IF(ABS($I$7-J63)&lt;ABS($I$7-L63),I63,K63)</f>
        <v>2200</v>
      </c>
      <c r="R63" t="b">
        <f aca="true" t="shared" si="94" ref="R63:R68">OR(Q63&lt;400,Q63&gt;3000)</f>
        <v>0</v>
      </c>
      <c r="T63">
        <f aca="true" t="shared" si="95" ref="T63:T68">IF(ABS($I$7-AC63)&lt;ABS($I$7-AE63),AC63,AE63)</f>
        <v>1003</v>
      </c>
      <c r="U63">
        <f aca="true" t="shared" si="96" ref="U63:U68">IF(ABS($I$7-AC63)&lt;ABS($I$7-AE63),AB63,AD63)</f>
        <v>2400</v>
      </c>
      <c r="V63" t="b">
        <f t="shared" si="11"/>
        <v>1</v>
      </c>
      <c r="X63">
        <v>1.3088</v>
      </c>
      <c r="Y63">
        <v>3.3425316984017504</v>
      </c>
      <c r="Z63" s="11">
        <f t="shared" si="12"/>
        <v>417.6876660989334</v>
      </c>
      <c r="AA63">
        <f>$I$7/výber!Z63</f>
        <v>2.394133418732887</v>
      </c>
      <c r="AB63">
        <f t="shared" si="13"/>
        <v>2300</v>
      </c>
      <c r="AC63" s="2">
        <f aca="true" t="shared" si="97" ref="AC63:AC68">ROUNDUP(Z63*AB63/1000,0)</f>
        <v>961</v>
      </c>
      <c r="AD63">
        <f aca="true" t="shared" si="98" ref="AD63:AD68">CEILING((AA63*1000),100)</f>
        <v>2400</v>
      </c>
      <c r="AE63" s="2">
        <f aca="true" t="shared" si="99" ref="AE63:AE68">ROUNDUP(Z63*AD63/1000,0)</f>
        <v>1003</v>
      </c>
      <c r="AF63" t="b">
        <f aca="true" t="shared" si="100" ref="AF63:AF68">OR(AB63&lt;400,AB63&gt;2000)</f>
        <v>1</v>
      </c>
      <c r="AG63" t="b">
        <f aca="true" t="shared" si="101" ref="AG63:AG68">OR(AD63&lt;400,AD63&gt;2000)</f>
        <v>1</v>
      </c>
    </row>
    <row r="64" spans="1:33" ht="12.75">
      <c r="A64" s="6" t="s">
        <v>7</v>
      </c>
      <c r="B64" s="7"/>
      <c r="D64" s="12">
        <v>400</v>
      </c>
      <c r="E64">
        <v>1.2953</v>
      </c>
      <c r="F64">
        <v>4.844517099815134</v>
      </c>
      <c r="G64" s="11">
        <f t="shared" si="85"/>
        <v>575.9685897289146</v>
      </c>
      <c r="H64">
        <f>$I$7/výber!G64</f>
        <v>1.7362057894001826</v>
      </c>
      <c r="I64">
        <f t="shared" si="86"/>
        <v>1700</v>
      </c>
      <c r="J64" s="2">
        <f t="shared" si="87"/>
        <v>980</v>
      </c>
      <c r="K64">
        <f t="shared" si="88"/>
        <v>1800</v>
      </c>
      <c r="L64" s="2">
        <f t="shared" si="89"/>
        <v>1037</v>
      </c>
      <c r="M64" t="b">
        <f t="shared" si="90"/>
        <v>0</v>
      </c>
      <c r="N64" t="b">
        <f t="shared" si="91"/>
        <v>0</v>
      </c>
      <c r="P64">
        <f t="shared" si="92"/>
        <v>980</v>
      </c>
      <c r="Q64">
        <f t="shared" si="93"/>
        <v>1700</v>
      </c>
      <c r="R64" t="b">
        <f t="shared" si="94"/>
        <v>0</v>
      </c>
      <c r="T64">
        <f t="shared" si="95"/>
        <v>1011</v>
      </c>
      <c r="U64">
        <f t="shared" si="96"/>
        <v>1900</v>
      </c>
      <c r="V64" t="b">
        <f t="shared" si="11"/>
        <v>0</v>
      </c>
      <c r="X64">
        <v>1.3033</v>
      </c>
      <c r="Y64">
        <v>4.342578616877487</v>
      </c>
      <c r="Z64" s="11">
        <f t="shared" si="12"/>
        <v>531.7560946848333</v>
      </c>
      <c r="AA64">
        <f>$I$7/výber!Z64</f>
        <v>1.8805614265553277</v>
      </c>
      <c r="AB64">
        <f t="shared" si="13"/>
        <v>1800</v>
      </c>
      <c r="AC64" s="2">
        <f t="shared" si="97"/>
        <v>958</v>
      </c>
      <c r="AD64">
        <f t="shared" si="98"/>
        <v>1900</v>
      </c>
      <c r="AE64" s="2">
        <f t="shared" si="99"/>
        <v>1011</v>
      </c>
      <c r="AF64" t="b">
        <f t="shared" si="100"/>
        <v>0</v>
      </c>
      <c r="AG64" t="b">
        <f t="shared" si="101"/>
        <v>0</v>
      </c>
    </row>
    <row r="65" spans="1:33" ht="12.75">
      <c r="A65" s="6" t="s">
        <v>8</v>
      </c>
      <c r="B65" s="7"/>
      <c r="D65" s="12">
        <v>500</v>
      </c>
      <c r="E65">
        <v>1.301</v>
      </c>
      <c r="F65">
        <v>5.6679740301486286</v>
      </c>
      <c r="G65" s="11">
        <f t="shared" si="85"/>
        <v>688.1892754637522</v>
      </c>
      <c r="H65">
        <f>$I$7/výber!G65</f>
        <v>1.4530886133413325</v>
      </c>
      <c r="I65">
        <f t="shared" si="86"/>
        <v>1400</v>
      </c>
      <c r="J65" s="2">
        <f t="shared" si="87"/>
        <v>964</v>
      </c>
      <c r="K65">
        <f t="shared" si="88"/>
        <v>1500</v>
      </c>
      <c r="L65" s="2">
        <f t="shared" si="89"/>
        <v>1033</v>
      </c>
      <c r="M65" t="b">
        <f t="shared" si="90"/>
        <v>0</v>
      </c>
      <c r="N65" t="b">
        <f t="shared" si="91"/>
        <v>0</v>
      </c>
      <c r="P65">
        <f t="shared" si="92"/>
        <v>1033</v>
      </c>
      <c r="Q65">
        <f t="shared" si="93"/>
        <v>1500</v>
      </c>
      <c r="R65" t="b">
        <f t="shared" si="94"/>
        <v>0</v>
      </c>
      <c r="T65">
        <f t="shared" si="95"/>
        <v>1023</v>
      </c>
      <c r="U65">
        <f t="shared" si="96"/>
        <v>1600</v>
      </c>
      <c r="V65" t="b">
        <f t="shared" si="11"/>
        <v>0</v>
      </c>
      <c r="X65">
        <v>1.2977</v>
      </c>
      <c r="Y65">
        <v>5.330386875637655</v>
      </c>
      <c r="Z65" s="11">
        <f t="shared" si="12"/>
        <v>639.3695979362784</v>
      </c>
      <c r="AA65">
        <f>$I$7/výber!Z65</f>
        <v>1.5640405850195949</v>
      </c>
      <c r="AB65">
        <f t="shared" si="13"/>
        <v>1500</v>
      </c>
      <c r="AC65" s="2">
        <f t="shared" si="97"/>
        <v>960</v>
      </c>
      <c r="AD65">
        <f t="shared" si="98"/>
        <v>1600</v>
      </c>
      <c r="AE65" s="2">
        <f t="shared" si="99"/>
        <v>1023</v>
      </c>
      <c r="AF65" t="b">
        <f t="shared" si="100"/>
        <v>0</v>
      </c>
      <c r="AG65" t="b">
        <f t="shared" si="101"/>
        <v>0</v>
      </c>
    </row>
    <row r="66" spans="4:33" ht="12.75">
      <c r="D66" s="12">
        <v>550</v>
      </c>
      <c r="E66">
        <v>1.3037</v>
      </c>
      <c r="F66">
        <v>6.065629595359762</v>
      </c>
      <c r="G66" s="11">
        <f t="shared" si="85"/>
        <v>743.8433706203971</v>
      </c>
      <c r="H66">
        <f>$I$7/výber!G66</f>
        <v>1.3443690425928745</v>
      </c>
      <c r="I66">
        <f t="shared" si="86"/>
        <v>1300</v>
      </c>
      <c r="J66" s="2">
        <f t="shared" si="87"/>
        <v>967</v>
      </c>
      <c r="K66">
        <f t="shared" si="88"/>
        <v>1400</v>
      </c>
      <c r="L66" s="2">
        <f t="shared" si="89"/>
        <v>1042</v>
      </c>
      <c r="M66" t="b">
        <f t="shared" si="90"/>
        <v>0</v>
      </c>
      <c r="N66" t="b">
        <f t="shared" si="91"/>
        <v>0</v>
      </c>
      <c r="P66">
        <f t="shared" si="92"/>
        <v>967</v>
      </c>
      <c r="Q66">
        <f t="shared" si="93"/>
        <v>1300</v>
      </c>
      <c r="R66" t="b">
        <f t="shared" si="94"/>
        <v>0</v>
      </c>
      <c r="T66">
        <f t="shared" si="95"/>
        <v>975</v>
      </c>
      <c r="U66">
        <f t="shared" si="96"/>
        <v>1400</v>
      </c>
      <c r="V66" t="b">
        <f t="shared" si="11"/>
        <v>0</v>
      </c>
      <c r="X66">
        <v>1.2909</v>
      </c>
      <c r="Y66">
        <v>5.947538787368657</v>
      </c>
      <c r="Z66" s="11">
        <f t="shared" si="12"/>
        <v>695.7232640302885</v>
      </c>
      <c r="AA66">
        <f>$I$7/výber!Z66</f>
        <v>1.4373531139479974</v>
      </c>
      <c r="AB66">
        <f t="shared" si="13"/>
        <v>1400</v>
      </c>
      <c r="AC66" s="2">
        <f t="shared" si="97"/>
        <v>975</v>
      </c>
      <c r="AD66">
        <f t="shared" si="98"/>
        <v>1500</v>
      </c>
      <c r="AE66" s="2">
        <f t="shared" si="99"/>
        <v>1044</v>
      </c>
      <c r="AF66" t="b">
        <f t="shared" si="100"/>
        <v>0</v>
      </c>
      <c r="AG66" t="b">
        <f t="shared" si="101"/>
        <v>0</v>
      </c>
    </row>
    <row r="67" spans="4:33" ht="12.75">
      <c r="D67" s="12">
        <v>600</v>
      </c>
      <c r="E67">
        <v>1.3066</v>
      </c>
      <c r="F67">
        <v>6.437200628692529</v>
      </c>
      <c r="G67" s="11">
        <f t="shared" si="85"/>
        <v>797.9003024510406</v>
      </c>
      <c r="H67">
        <f>$I$7/výber!G67</f>
        <v>1.2532894108802024</v>
      </c>
      <c r="I67">
        <f t="shared" si="86"/>
        <v>1200</v>
      </c>
      <c r="J67" s="2">
        <f t="shared" si="87"/>
        <v>958</v>
      </c>
      <c r="K67">
        <f t="shared" si="88"/>
        <v>1300</v>
      </c>
      <c r="L67" s="2">
        <f t="shared" si="89"/>
        <v>1038</v>
      </c>
      <c r="M67" t="b">
        <f t="shared" si="90"/>
        <v>0</v>
      </c>
      <c r="N67" t="b">
        <f t="shared" si="91"/>
        <v>0</v>
      </c>
      <c r="P67">
        <f t="shared" si="92"/>
        <v>1038</v>
      </c>
      <c r="Q67">
        <f t="shared" si="93"/>
        <v>1300</v>
      </c>
      <c r="R67" t="b">
        <f t="shared" si="94"/>
        <v>0</v>
      </c>
      <c r="T67">
        <f t="shared" si="95"/>
        <v>964</v>
      </c>
      <c r="U67">
        <f t="shared" si="96"/>
        <v>1300</v>
      </c>
      <c r="V67" t="b">
        <f t="shared" si="11"/>
        <v>0</v>
      </c>
      <c r="X67">
        <v>1.2918</v>
      </c>
      <c r="Y67">
        <v>6.317908301490292</v>
      </c>
      <c r="Z67" s="11">
        <f t="shared" si="12"/>
        <v>741.5055654752703</v>
      </c>
      <c r="AA67">
        <f>$I$7/výber!Z67</f>
        <v>1.348607544650116</v>
      </c>
      <c r="AB67">
        <f t="shared" si="13"/>
        <v>1300</v>
      </c>
      <c r="AC67" s="2">
        <f t="shared" si="97"/>
        <v>964</v>
      </c>
      <c r="AD67">
        <f t="shared" si="98"/>
        <v>1400</v>
      </c>
      <c r="AE67" s="2">
        <f t="shared" si="99"/>
        <v>1039</v>
      </c>
      <c r="AF67" t="b">
        <f t="shared" si="100"/>
        <v>0</v>
      </c>
      <c r="AG67" t="b">
        <f t="shared" si="101"/>
        <v>0</v>
      </c>
    </row>
    <row r="68" spans="4:33" ht="12.75">
      <c r="D68" s="12">
        <v>900</v>
      </c>
      <c r="E68">
        <v>1.3162</v>
      </c>
      <c r="F68">
        <v>8.70776979812384</v>
      </c>
      <c r="G68" s="11">
        <f t="shared" si="85"/>
        <v>1118.248437288742</v>
      </c>
      <c r="H68">
        <f>$I$7/výber!G68</f>
        <v>0.8942556650689876</v>
      </c>
      <c r="I68">
        <f t="shared" si="86"/>
        <v>800</v>
      </c>
      <c r="J68" s="2">
        <f t="shared" si="87"/>
        <v>895</v>
      </c>
      <c r="K68">
        <f t="shared" si="88"/>
        <v>900</v>
      </c>
      <c r="L68" s="2">
        <f t="shared" si="89"/>
        <v>1007</v>
      </c>
      <c r="M68" t="b">
        <f t="shared" si="90"/>
        <v>0</v>
      </c>
      <c r="N68" t="b">
        <f t="shared" si="91"/>
        <v>0</v>
      </c>
      <c r="P68">
        <f t="shared" si="92"/>
        <v>1007</v>
      </c>
      <c r="Q68">
        <f t="shared" si="93"/>
        <v>900</v>
      </c>
      <c r="R68" t="b">
        <f t="shared" si="94"/>
        <v>0</v>
      </c>
      <c r="T68">
        <f t="shared" si="95"/>
        <v>1023</v>
      </c>
      <c r="U68">
        <f t="shared" si="96"/>
        <v>1000</v>
      </c>
      <c r="V68" t="b">
        <f t="shared" si="11"/>
        <v>0</v>
      </c>
      <c r="X68">
        <v>1.2659</v>
      </c>
      <c r="Y68">
        <v>9.583123477674583</v>
      </c>
      <c r="Z68" s="11">
        <f t="shared" si="12"/>
        <v>1022.2446046521184</v>
      </c>
      <c r="AA68">
        <f>$I$7/výber!Z68</f>
        <v>0.9782394501757351</v>
      </c>
      <c r="AB68">
        <f t="shared" si="13"/>
        <v>900</v>
      </c>
      <c r="AC68" s="2">
        <f t="shared" si="97"/>
        <v>921</v>
      </c>
      <c r="AD68">
        <f t="shared" si="98"/>
        <v>1000</v>
      </c>
      <c r="AE68" s="2">
        <f t="shared" si="99"/>
        <v>1023</v>
      </c>
      <c r="AF68" t="b">
        <f t="shared" si="100"/>
        <v>0</v>
      </c>
      <c r="AG68" t="b">
        <f t="shared" si="101"/>
        <v>0</v>
      </c>
    </row>
  </sheetData>
  <sheetProtection/>
  <mergeCells count="2">
    <mergeCell ref="X12:Z12"/>
    <mergeCell ref="T12:V12"/>
  </mergeCells>
  <printOptions/>
  <pageMargins left="0.75" right="0.75" top="1" bottom="1" header="0.4921259845" footer="0.492125984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14">
    <pageSetUpPr fitToPage="1"/>
  </sheetPr>
  <dimension ref="A2:Q14"/>
  <sheetViews>
    <sheetView showGridLines="0" showRowColHeaders="0" zoomScalePageLayoutView="0" workbookViewId="0" topLeftCell="A1">
      <selection activeCell="U28" sqref="U28"/>
    </sheetView>
  </sheetViews>
  <sheetFormatPr defaultColWidth="9.140625" defaultRowHeight="12.75"/>
  <cols>
    <col min="1" max="1" width="13.57421875" style="0" customWidth="1"/>
    <col min="2" max="2" width="13.28125" style="0" customWidth="1"/>
    <col min="3" max="3" width="6.00390625" style="0" customWidth="1"/>
    <col min="4" max="4" width="6.8515625" style="0" customWidth="1"/>
    <col min="5" max="5" width="8.421875" style="0" customWidth="1"/>
    <col min="6" max="6" width="7.00390625" style="0" customWidth="1"/>
    <col min="7" max="7" width="4.28125" style="0" customWidth="1"/>
    <col min="8" max="8" width="6.00390625" style="0" customWidth="1"/>
    <col min="12" max="12" width="7.8515625" style="0" customWidth="1"/>
    <col min="14" max="14" width="7.421875" style="0" customWidth="1"/>
    <col min="17" max="17" width="7.421875" style="0" customWidth="1"/>
  </cols>
  <sheetData>
    <row r="2" spans="1:17" ht="41.25" customHeight="1" thickBot="1">
      <c r="A2" s="274"/>
      <c r="B2" s="334" t="str">
        <f>INDEX(Preklady!B3:D108,99,Preklady!A1)</f>
        <v>Prednast. ventilovej vložky</v>
      </c>
      <c r="C2" s="334"/>
      <c r="D2" s="334"/>
      <c r="E2" s="334"/>
      <c r="F2" s="334"/>
      <c r="G2" s="334"/>
      <c r="H2" s="334"/>
      <c r="I2" s="275" t="s">
        <v>438</v>
      </c>
      <c r="J2" s="274"/>
      <c r="K2" s="274"/>
      <c r="L2" s="274"/>
      <c r="M2" s="274"/>
      <c r="N2" s="274"/>
      <c r="O2" s="274"/>
      <c r="P2" s="274"/>
      <c r="Q2" s="274"/>
    </row>
    <row r="3" spans="1:17" ht="17.25" customHeight="1">
      <c r="A3" s="337" t="str">
        <f>INDEX(Preklady!B3:D108,100,Preklady!A1)</f>
        <v>Dané hodnoty</v>
      </c>
      <c r="B3" s="337"/>
      <c r="C3" s="137"/>
      <c r="D3" s="137"/>
      <c r="E3" s="137"/>
      <c r="F3" s="137"/>
      <c r="G3" s="137"/>
      <c r="H3" s="137"/>
      <c r="I3" s="273" t="str">
        <f>INDEX(Preklady!B3:D108,101,Preklady!A1)</f>
        <v>Vypočítané hodnoty</v>
      </c>
      <c r="J3" s="273"/>
      <c r="K3" s="137"/>
      <c r="L3" s="137"/>
      <c r="M3" s="137"/>
      <c r="N3" s="137"/>
      <c r="O3" s="28"/>
      <c r="P3" s="28"/>
      <c r="Q3" s="28"/>
    </row>
    <row r="4" spans="1:14" ht="12.75">
      <c r="A4" s="189"/>
      <c r="B4" s="265" t="str">
        <f>INDEX(Preklady!B3:D108,48,Preklady!A1)</f>
        <v>Typ</v>
      </c>
      <c r="C4" s="189"/>
      <c r="D4" s="335" t="str">
        <f>INDEX(Preklady!B3:D108,63,Preklady!A1)</f>
        <v>Výška (mm)</v>
      </c>
      <c r="E4" s="335"/>
      <c r="F4" s="267" t="str">
        <f>INDEX(Preklady!B3:D108,64,Preklady!A1)</f>
        <v>Dĺžka (mm)</v>
      </c>
      <c r="G4" s="189"/>
      <c r="H4" s="231" t="str">
        <f>INDEX(Preklady!B3:D108,47,Preklady!A1)</f>
        <v>Plan</v>
      </c>
      <c r="I4" s="270"/>
      <c r="J4" s="270"/>
      <c r="K4" s="270"/>
      <c r="L4" s="270"/>
      <c r="M4" s="270"/>
      <c r="N4" s="270"/>
    </row>
    <row r="5" spans="1:14" ht="15.75" customHeight="1">
      <c r="A5" s="335" t="str">
        <f>INDEX(Preklady!B3:D108,106,Preklady!A1)</f>
        <v>Radiátor</v>
      </c>
      <c r="B5" s="336"/>
      <c r="C5" s="264" t="s">
        <v>144</v>
      </c>
      <c r="D5" s="189"/>
      <c r="E5" s="189"/>
      <c r="F5" s="280">
        <v>1200</v>
      </c>
      <c r="G5" s="189"/>
      <c r="H5" s="189"/>
      <c r="I5" s="270"/>
      <c r="J5" s="270"/>
      <c r="K5" s="270"/>
      <c r="L5" s="270"/>
      <c r="M5" s="270"/>
      <c r="N5" s="270"/>
    </row>
    <row r="6" spans="1:14" ht="13.5" thickBot="1">
      <c r="A6" s="189"/>
      <c r="B6" s="231"/>
      <c r="C6" s="189"/>
      <c r="D6" s="189"/>
      <c r="E6" s="189"/>
      <c r="F6" s="189"/>
      <c r="G6" s="189"/>
      <c r="H6" s="189"/>
      <c r="I6" s="270"/>
      <c r="J6" s="270"/>
      <c r="K6" s="270"/>
      <c r="L6" s="270"/>
      <c r="M6" s="270"/>
      <c r="N6" s="270"/>
    </row>
    <row r="7" spans="1:14" ht="18" customHeight="1" thickBot="1">
      <c r="A7" s="189"/>
      <c r="B7" s="265" t="str">
        <f>INDEX(Preklady!B3:D108,50,Preklady!A1)</f>
        <v>Výkon</v>
      </c>
      <c r="C7" s="265" t="s">
        <v>397</v>
      </c>
      <c r="D7" s="276">
        <f>IF(F8=FALSE,F7,0)</f>
        <v>1363.664084922545</v>
      </c>
      <c r="E7" s="265" t="s">
        <v>105</v>
      </c>
      <c r="F7" s="268">
        <f>INDEX(Vložka!$G$14:$K$53,Vložka!$M$11,Vložka!$N$11)*$F$5/1000</f>
        <v>1363.664084922545</v>
      </c>
      <c r="G7" s="268" t="s">
        <v>81</v>
      </c>
      <c r="H7" s="268"/>
      <c r="I7" s="331" t="str">
        <f>INDEX(Preklady!B3:D108,104,Preklady!A1)</f>
        <v>Hmotnostný prietok vody</v>
      </c>
      <c r="J7" s="331"/>
      <c r="K7" s="331"/>
      <c r="L7" s="271" t="s">
        <v>404</v>
      </c>
      <c r="M7" s="203">
        <f>D7/(D13*D10)*3600</f>
        <v>78.18427624973981</v>
      </c>
      <c r="N7" s="272" t="s">
        <v>405</v>
      </c>
    </row>
    <row r="8" spans="1:14" ht="15.75" customHeight="1" thickBot="1">
      <c r="A8" s="330" t="str">
        <f>INDEX(Preklady!B3:D108,36,Preklady!A1)</f>
        <v>Vstupná teplota vody  t1 =</v>
      </c>
      <c r="B8" s="330"/>
      <c r="C8" s="333"/>
      <c r="D8" s="277">
        <v>65</v>
      </c>
      <c r="E8" s="265" t="s">
        <v>100</v>
      </c>
      <c r="F8" s="268" t="b">
        <f>OR(AND(Vložka!H11=1,'Prednast. ventilovej vložky'!F5&gt;2000),AND(Vložka!J3=TRUE,'Prednast. ventilovej vložky'!F5&gt;2000))</f>
        <v>0</v>
      </c>
      <c r="G8" s="268" t="s">
        <v>402</v>
      </c>
      <c r="H8" s="268"/>
      <c r="I8" s="270"/>
      <c r="J8" s="270"/>
      <c r="K8" s="270"/>
      <c r="L8" s="270"/>
      <c r="M8" s="270"/>
      <c r="N8" s="270"/>
    </row>
    <row r="9" spans="1:14" ht="15.75" customHeight="1" thickBot="1">
      <c r="A9" s="330" t="str">
        <f>INDEX(Preklady!B3:D108,38,Preklady!A1)</f>
        <v>Výstupná teplota vody  t2 =</v>
      </c>
      <c r="B9" s="330"/>
      <c r="C9" s="333"/>
      <c r="D9" s="278">
        <f>D8-D10</f>
        <v>50</v>
      </c>
      <c r="E9" s="265" t="s">
        <v>100</v>
      </c>
      <c r="F9" s="268"/>
      <c r="G9" s="268"/>
      <c r="H9" s="268"/>
      <c r="I9" s="332" t="str">
        <f>INDEX(Preklady!B3:D108,105,Preklady!A1)</f>
        <v>Prednastavenie ventilu</v>
      </c>
      <c r="J9" s="332"/>
      <c r="K9" s="332"/>
      <c r="L9" s="271" t="s">
        <v>407</v>
      </c>
      <c r="M9" s="203">
        <f>ROUNDUP(Vložka!O62,2)</f>
        <v>3.6799999999999997</v>
      </c>
      <c r="N9" s="270"/>
    </row>
    <row r="10" spans="1:14" ht="15.75" customHeight="1" thickBot="1">
      <c r="A10" s="330" t="str">
        <f>INDEX(Preklady!B3:D108,37,Preklady!A1)</f>
        <v>Teplotný rozdiel t1-t2 =</v>
      </c>
      <c r="B10" s="330"/>
      <c r="C10" s="333"/>
      <c r="D10" s="277">
        <v>15</v>
      </c>
      <c r="E10" s="265" t="s">
        <v>100</v>
      </c>
      <c r="F10" s="268"/>
      <c r="G10" s="268"/>
      <c r="H10" s="268"/>
      <c r="I10" s="270"/>
      <c r="J10" s="270"/>
      <c r="K10" s="270"/>
      <c r="L10" s="270"/>
      <c r="M10" s="270"/>
      <c r="N10" s="270"/>
    </row>
    <row r="11" spans="1:14" ht="15.75" customHeight="1" thickBot="1">
      <c r="A11" s="330" t="str">
        <f>INDEX(Preklady!B3:D108,34,Preklady!A1)</f>
        <v>Miestnosť   ti =</v>
      </c>
      <c r="B11" s="330"/>
      <c r="C11" s="333"/>
      <c r="D11" s="277">
        <v>20</v>
      </c>
      <c r="E11" s="265" t="s">
        <v>100</v>
      </c>
      <c r="F11" s="268"/>
      <c r="G11" s="268"/>
      <c r="H11" s="268"/>
      <c r="I11" s="270"/>
      <c r="J11" s="270"/>
      <c r="K11" s="270"/>
      <c r="L11" s="270"/>
      <c r="M11" s="270"/>
      <c r="N11" s="270"/>
    </row>
    <row r="12" spans="1:14" ht="18" customHeight="1" thickBot="1">
      <c r="A12" s="330" t="str">
        <f>INDEX(Preklady!B3:D108,102,Preklady!A1)</f>
        <v>Tlaková strata</v>
      </c>
      <c r="B12" s="330"/>
      <c r="C12" s="266" t="s">
        <v>454</v>
      </c>
      <c r="D12" s="279">
        <f>$F$12/10</f>
        <v>3</v>
      </c>
      <c r="E12" s="217" t="s">
        <v>395</v>
      </c>
      <c r="F12" s="269">
        <v>30</v>
      </c>
      <c r="G12" s="268"/>
      <c r="H12" s="268"/>
      <c r="I12" s="270"/>
      <c r="J12" s="270"/>
      <c r="K12" s="270"/>
      <c r="L12" s="270"/>
      <c r="M12" s="270"/>
      <c r="N12" s="270"/>
    </row>
    <row r="13" spans="1:14" ht="18" customHeight="1" thickBot="1">
      <c r="A13" s="330" t="str">
        <f>INDEX(Preklady!B3:D108,103,Preklady!A1)</f>
        <v>Merná tep. kapacita vody</v>
      </c>
      <c r="B13" s="330"/>
      <c r="C13" s="265" t="s">
        <v>455</v>
      </c>
      <c r="D13" s="278">
        <v>4186</v>
      </c>
      <c r="E13" s="267" t="s">
        <v>443</v>
      </c>
      <c r="F13" s="268"/>
      <c r="G13" s="268"/>
      <c r="H13" s="268"/>
      <c r="I13" s="270"/>
      <c r="J13" s="270"/>
      <c r="K13" s="270"/>
      <c r="L13" s="270"/>
      <c r="M13" s="270"/>
      <c r="N13" s="270"/>
    </row>
    <row r="14" spans="1:14" ht="12.75">
      <c r="A14" s="189"/>
      <c r="B14" s="189"/>
      <c r="C14" s="189"/>
      <c r="D14" s="189"/>
      <c r="E14" s="189"/>
      <c r="F14" s="189"/>
      <c r="G14" s="189"/>
      <c r="H14" s="189"/>
      <c r="I14" s="270"/>
      <c r="J14" s="270"/>
      <c r="K14" s="270"/>
      <c r="L14" s="270"/>
      <c r="M14" s="270"/>
      <c r="N14" s="270"/>
    </row>
  </sheetData>
  <sheetProtection password="C889" sheet="1" formatColumns="0" formatRows="0" deleteColumns="0" deleteRows="0" selectLockedCells="1" selectUnlockedCells="1"/>
  <mergeCells count="12">
    <mergeCell ref="B2:H2"/>
    <mergeCell ref="D4:E4"/>
    <mergeCell ref="A5:B5"/>
    <mergeCell ref="A3:B3"/>
    <mergeCell ref="A13:B13"/>
    <mergeCell ref="I7:K7"/>
    <mergeCell ref="I9:K9"/>
    <mergeCell ref="A8:C8"/>
    <mergeCell ref="A9:C9"/>
    <mergeCell ref="A10:C10"/>
    <mergeCell ref="A11:C11"/>
    <mergeCell ref="A12:B12"/>
  </mergeCells>
  <conditionalFormatting sqref="D7">
    <cfRule type="cellIs" priority="2" dxfId="0" operator="equal" stopIfTrue="1">
      <formula>0</formula>
    </cfRule>
  </conditionalFormatting>
  <printOptions/>
  <pageMargins left="0.31496062992125984" right="0.2755905511811024" top="0.35433070866141736" bottom="0.31496062992125984" header="0.31496062992125984" footer="0.31496062992125984"/>
  <pageSetup fitToHeight="1" fitToWidth="1" horizontalDpi="600" verticalDpi="600" orientation="portrait" paperSize="9" scale="69" r:id="rId4"/>
  <drawing r:id="rId3"/>
  <legacyDrawing r:id="rId2"/>
  <oleObjects>
    <oleObject progId="Equation.3" shapeId="408765" r:id="rId1"/>
  </oleObjects>
</worksheet>
</file>

<file path=xl/worksheets/sheet13.xml><?xml version="1.0" encoding="utf-8"?>
<worksheet xmlns="http://schemas.openxmlformats.org/spreadsheetml/2006/main" xmlns:r="http://schemas.openxmlformats.org/officeDocument/2006/relationships">
  <sheetPr codeName="Hárok2"/>
  <dimension ref="A2:Z62"/>
  <sheetViews>
    <sheetView zoomScalePageLayoutView="0" workbookViewId="0" topLeftCell="A1">
      <selection activeCell="AA28" sqref="AA28"/>
    </sheetView>
  </sheetViews>
  <sheetFormatPr defaultColWidth="9.140625" defaultRowHeight="12.75"/>
  <cols>
    <col min="15" max="15" width="12.421875" style="0" bestFit="1" customWidth="1"/>
  </cols>
  <sheetData>
    <row r="2" spans="2:14" ht="12.75">
      <c r="B2" s="5" t="s">
        <v>1</v>
      </c>
      <c r="C2" s="5"/>
      <c r="D2" s="5"/>
      <c r="H2" s="5" t="s">
        <v>95</v>
      </c>
      <c r="J2" s="5" t="s">
        <v>145</v>
      </c>
      <c r="M2" s="101" t="s">
        <v>400</v>
      </c>
      <c r="N2" s="187" t="s">
        <v>401</v>
      </c>
    </row>
    <row r="3" spans="1:14" ht="12.75">
      <c r="A3" s="4">
        <v>1</v>
      </c>
      <c r="B3" s="14">
        <v>300</v>
      </c>
      <c r="G3">
        <v>1</v>
      </c>
      <c r="H3">
        <v>11</v>
      </c>
      <c r="J3" t="b">
        <v>0</v>
      </c>
      <c r="L3" s="101"/>
      <c r="M3">
        <f>IF(H11=1,1,0)</f>
        <v>0</v>
      </c>
      <c r="N3">
        <f>IF(B10=4,1,0)</f>
        <v>1</v>
      </c>
    </row>
    <row r="4" spans="1:17" ht="12.75">
      <c r="A4" s="4">
        <v>2</v>
      </c>
      <c r="B4" s="2">
        <v>400</v>
      </c>
      <c r="G4">
        <v>2</v>
      </c>
      <c r="H4">
        <v>21</v>
      </c>
      <c r="L4" s="101"/>
      <c r="N4" s="188"/>
      <c r="Q4" s="101"/>
    </row>
    <row r="5" spans="1:8" ht="12.75">
      <c r="A5" s="4">
        <v>3</v>
      </c>
      <c r="B5" s="2">
        <v>500</v>
      </c>
      <c r="G5">
        <v>3</v>
      </c>
      <c r="H5">
        <v>22</v>
      </c>
    </row>
    <row r="6" spans="1:8" ht="12.75">
      <c r="A6" s="4">
        <v>4</v>
      </c>
      <c r="B6" s="2">
        <v>600</v>
      </c>
      <c r="G6">
        <v>4</v>
      </c>
      <c r="H6">
        <v>33</v>
      </c>
    </row>
    <row r="7" spans="1:8" ht="12.75">
      <c r="A7" s="4">
        <v>5</v>
      </c>
      <c r="B7" s="2">
        <v>900</v>
      </c>
      <c r="D7" s="29" t="s">
        <v>67</v>
      </c>
      <c r="E7" s="42">
        <f>(C15-C16)/(C14-C16)</f>
        <v>0.6666666666666666</v>
      </c>
      <c r="G7">
        <v>5</v>
      </c>
      <c r="H7">
        <v>10</v>
      </c>
    </row>
    <row r="8" spans="1:8" ht="12.75">
      <c r="A8" s="4"/>
      <c r="D8" s="43" t="s">
        <v>68</v>
      </c>
      <c r="E8" s="12">
        <f>(C14+C15)/2-C16</f>
        <v>37.5</v>
      </c>
      <c r="G8">
        <v>6</v>
      </c>
      <c r="H8">
        <v>20</v>
      </c>
    </row>
    <row r="9" spans="1:21" ht="17.25">
      <c r="A9" s="1"/>
      <c r="D9" s="43" t="s">
        <v>69</v>
      </c>
      <c r="E9">
        <f>(C14-C15)/LN((C14-C16)/(C15-C16))</f>
        <v>36.99455193564648</v>
      </c>
      <c r="G9">
        <v>7</v>
      </c>
      <c r="H9">
        <v>30</v>
      </c>
      <c r="Q9" s="194" t="s">
        <v>408</v>
      </c>
      <c r="R9" s="194" t="s">
        <v>409</v>
      </c>
      <c r="T9" s="4" t="s">
        <v>412</v>
      </c>
      <c r="U9">
        <f>'Prednast. ventilovej vložky'!M7</f>
        <v>78.18427624973981</v>
      </c>
    </row>
    <row r="10" spans="1:21" ht="12.75">
      <c r="A10" s="1" t="s">
        <v>12</v>
      </c>
      <c r="B10">
        <v>4</v>
      </c>
      <c r="G10">
        <v>8</v>
      </c>
      <c r="H10" t="s">
        <v>158</v>
      </c>
      <c r="M10" s="101" t="s">
        <v>398</v>
      </c>
      <c r="N10" s="101" t="s">
        <v>399</v>
      </c>
      <c r="Q10">
        <v>1</v>
      </c>
      <c r="R10">
        <v>0.089</v>
      </c>
      <c r="T10" s="4" t="s">
        <v>413</v>
      </c>
      <c r="U10">
        <f>'Prednast. ventilovej vložky'!D12</f>
        <v>3</v>
      </c>
    </row>
    <row r="11" spans="1:21" ht="12.75">
      <c r="A11" s="2"/>
      <c r="G11" t="s">
        <v>96</v>
      </c>
      <c r="H11">
        <v>3</v>
      </c>
      <c r="M11">
        <f>5*H11+B10-5</f>
        <v>14</v>
      </c>
      <c r="N11">
        <f>1+4*N(J3)</f>
        <v>1</v>
      </c>
      <c r="Q11">
        <v>2</v>
      </c>
      <c r="R11">
        <v>0.288</v>
      </c>
      <c r="T11" s="4" t="s">
        <v>414</v>
      </c>
      <c r="U11">
        <f>U9/100/SQRT(U10)</f>
        <v>0.45139712939183346</v>
      </c>
    </row>
    <row r="12" spans="10:18" ht="12.75">
      <c r="J12" t="s">
        <v>154</v>
      </c>
      <c r="Q12">
        <v>3</v>
      </c>
      <c r="R12">
        <v>0.385</v>
      </c>
    </row>
    <row r="13" spans="1:18" ht="12.75" customHeight="1">
      <c r="A13" s="6" t="s">
        <v>2</v>
      </c>
      <c r="B13" s="7"/>
      <c r="C13" s="10" t="s">
        <v>153</v>
      </c>
      <c r="D13" s="202" t="s">
        <v>436</v>
      </c>
      <c r="E13" s="45" t="s">
        <v>4</v>
      </c>
      <c r="F13" s="45" t="s">
        <v>66</v>
      </c>
      <c r="G13" s="67" t="s">
        <v>13</v>
      </c>
      <c r="H13" s="3"/>
      <c r="I13" s="45" t="s">
        <v>4</v>
      </c>
      <c r="J13" s="45" t="s">
        <v>66</v>
      </c>
      <c r="K13" s="67" t="s">
        <v>13</v>
      </c>
      <c r="Q13">
        <v>4</v>
      </c>
      <c r="R13">
        <v>0.499</v>
      </c>
    </row>
    <row r="14" spans="1:18" ht="12.75">
      <c r="A14" s="6" t="s">
        <v>6</v>
      </c>
      <c r="B14" s="7"/>
      <c r="C14" s="13">
        <f>'Prednast. ventilovej vložky'!$D$8</f>
        <v>65</v>
      </c>
      <c r="D14" s="12">
        <v>300</v>
      </c>
      <c r="E14" s="12">
        <v>1.2912</v>
      </c>
      <c r="F14" s="12">
        <v>3.4889</v>
      </c>
      <c r="G14" s="11">
        <f aca="true" t="shared" si="0" ref="G14:G53">IF($E$7&lt;0.7,F14*$E$9^E14,F14*$E$8^E14)</f>
        <v>369.3754374185775</v>
      </c>
      <c r="I14" s="86">
        <v>1.279</v>
      </c>
      <c r="J14" s="12">
        <v>3.39756583841796</v>
      </c>
      <c r="K14" s="11">
        <f aca="true" t="shared" si="1" ref="K14:K53">IF($E$7&lt;0.7,J14*$E$9^I14,J14*$E$8^I14)</f>
        <v>344.20414131551246</v>
      </c>
      <c r="Q14">
        <v>5</v>
      </c>
      <c r="R14">
        <v>0.753</v>
      </c>
    </row>
    <row r="15" spans="1:18" ht="12.75">
      <c r="A15" s="6" t="s">
        <v>7</v>
      </c>
      <c r="B15" s="7"/>
      <c r="C15" s="13">
        <f>'Prednast. ventilovej vložky'!$D$9</f>
        <v>50</v>
      </c>
      <c r="D15" s="12">
        <v>400</v>
      </c>
      <c r="E15" s="12">
        <v>1.2953</v>
      </c>
      <c r="F15" s="12">
        <v>4.3405</v>
      </c>
      <c r="G15" s="11">
        <f t="shared" si="0"/>
        <v>466.38934082614935</v>
      </c>
      <c r="I15" s="86">
        <v>1.2797</v>
      </c>
      <c r="J15" s="12">
        <v>4.178425614435479</v>
      </c>
      <c r="K15" s="11">
        <f t="shared" si="1"/>
        <v>424.3835892428701</v>
      </c>
      <c r="Q15">
        <v>6</v>
      </c>
      <c r="R15">
        <v>0.964</v>
      </c>
    </row>
    <row r="16" spans="1:18" ht="12.75">
      <c r="A16" s="6" t="s">
        <v>8</v>
      </c>
      <c r="B16" s="7"/>
      <c r="C16" s="13">
        <f>'Prednast. ventilovej vložky'!$D$11</f>
        <v>20</v>
      </c>
      <c r="D16" s="12">
        <v>500</v>
      </c>
      <c r="E16" s="12">
        <v>1.2994</v>
      </c>
      <c r="F16" s="12">
        <v>5.1208</v>
      </c>
      <c r="G16" s="11">
        <f t="shared" si="0"/>
        <v>558.4393780083303</v>
      </c>
      <c r="I16" s="86">
        <v>1.2804</v>
      </c>
      <c r="J16" s="12">
        <v>4.948311311311136</v>
      </c>
      <c r="K16" s="11">
        <f t="shared" si="1"/>
        <v>503.8492509831527</v>
      </c>
      <c r="Q16">
        <v>7</v>
      </c>
      <c r="R16">
        <v>1.044</v>
      </c>
    </row>
    <row r="17" spans="1:18" ht="12.75">
      <c r="A17" s="7"/>
      <c r="B17" s="7"/>
      <c r="C17" s="7"/>
      <c r="D17" s="12">
        <v>600</v>
      </c>
      <c r="E17" s="12">
        <v>1.3035</v>
      </c>
      <c r="F17" s="12">
        <v>5.8568</v>
      </c>
      <c r="G17" s="11">
        <f t="shared" si="0"/>
        <v>648.228287940675</v>
      </c>
      <c r="I17" s="86">
        <v>1.2811</v>
      </c>
      <c r="J17" s="12">
        <v>5.727274235838817</v>
      </c>
      <c r="K17" s="11">
        <f t="shared" si="1"/>
        <v>584.6410127471016</v>
      </c>
      <c r="Q17">
        <v>8</v>
      </c>
      <c r="R17">
        <v>1.084</v>
      </c>
    </row>
    <row r="18" spans="1:11" ht="12.75">
      <c r="A18" s="6" t="s">
        <v>5</v>
      </c>
      <c r="B18" s="7"/>
      <c r="C18" s="7"/>
      <c r="D18" s="190">
        <v>900</v>
      </c>
      <c r="E18" s="190">
        <v>1.3237</v>
      </c>
      <c r="F18" s="190">
        <v>7.5822</v>
      </c>
      <c r="G18" s="191">
        <f t="shared" si="0"/>
        <v>902.6911907193374</v>
      </c>
      <c r="H18" s="48"/>
      <c r="I18" s="192">
        <v>1.2732</v>
      </c>
      <c r="J18" s="190">
        <v>8.49652011879567</v>
      </c>
      <c r="K18" s="191">
        <f t="shared" si="1"/>
        <v>842.9350275563621</v>
      </c>
    </row>
    <row r="19" spans="1:11" ht="12.75">
      <c r="A19" s="6" t="s">
        <v>6</v>
      </c>
      <c r="B19" s="7"/>
      <c r="C19" s="13">
        <f>'Prednast. ventilovej vložky'!$D$8</f>
        <v>65</v>
      </c>
      <c r="D19" s="12">
        <v>300</v>
      </c>
      <c r="E19" s="12">
        <v>1.3239</v>
      </c>
      <c r="F19" s="12">
        <v>4.236</v>
      </c>
      <c r="G19" s="11">
        <f t="shared" si="0"/>
        <v>504.67704018348843</v>
      </c>
      <c r="I19" s="12">
        <v>1.3015</v>
      </c>
      <c r="J19" s="12">
        <v>4.283148279989495</v>
      </c>
      <c r="K19" s="11">
        <f t="shared" si="1"/>
        <v>470.6460514902281</v>
      </c>
    </row>
    <row r="20" spans="1:11" ht="12.75">
      <c r="A20" s="6" t="s">
        <v>7</v>
      </c>
      <c r="B20" s="7"/>
      <c r="C20" s="13">
        <f>'Prednast. ventilovej vložky'!$D$9</f>
        <v>50</v>
      </c>
      <c r="D20" s="12">
        <v>400</v>
      </c>
      <c r="E20" s="12">
        <v>1.3338</v>
      </c>
      <c r="F20" s="12">
        <v>5.0775</v>
      </c>
      <c r="G20" s="11">
        <f t="shared" si="0"/>
        <v>626.9488237817709</v>
      </c>
      <c r="I20" s="12">
        <v>1.3114</v>
      </c>
      <c r="J20" s="12">
        <v>5.058668584194209</v>
      </c>
      <c r="K20" s="11">
        <f t="shared" si="1"/>
        <v>576.0923411689357</v>
      </c>
    </row>
    <row r="21" spans="1:24" ht="15">
      <c r="A21" s="6" t="s">
        <v>8</v>
      </c>
      <c r="B21" s="7"/>
      <c r="C21" s="13">
        <f>'Prednast. ventilovej vložky'!$D$11</f>
        <v>20</v>
      </c>
      <c r="D21" s="12">
        <v>500</v>
      </c>
      <c r="E21" s="12">
        <v>1.3437</v>
      </c>
      <c r="F21" s="12">
        <v>5.8126</v>
      </c>
      <c r="G21" s="11">
        <f t="shared" si="0"/>
        <v>743.8359451111788</v>
      </c>
      <c r="I21" s="12">
        <v>1.3213</v>
      </c>
      <c r="J21" s="12">
        <v>5.725040294232952</v>
      </c>
      <c r="K21" s="11">
        <f t="shared" si="1"/>
        <v>675.7078827674204</v>
      </c>
      <c r="P21" s="189"/>
      <c r="Q21" s="336" t="s">
        <v>410</v>
      </c>
      <c r="R21" s="336"/>
      <c r="S21" s="336"/>
      <c r="T21" s="336"/>
      <c r="U21" s="336"/>
      <c r="V21" s="336"/>
      <c r="W21" s="336"/>
      <c r="X21" s="336"/>
    </row>
    <row r="22" spans="4:24" ht="25.5">
      <c r="D22" s="12">
        <v>600</v>
      </c>
      <c r="E22" s="12">
        <v>1.3536</v>
      </c>
      <c r="F22" s="12">
        <v>6.4543</v>
      </c>
      <c r="G22" s="11">
        <f t="shared" si="0"/>
        <v>856.0131485013238</v>
      </c>
      <c r="I22" s="12">
        <v>1.3312</v>
      </c>
      <c r="J22" s="12">
        <v>6.3066646943945</v>
      </c>
      <c r="K22" s="11">
        <f t="shared" si="1"/>
        <v>771.4445996353819</v>
      </c>
      <c r="P22" s="195" t="s">
        <v>411</v>
      </c>
      <c r="Q22" s="189">
        <v>1</v>
      </c>
      <c r="R22" s="189">
        <v>2</v>
      </c>
      <c r="S22" s="189">
        <v>3</v>
      </c>
      <c r="T22" s="189">
        <v>4</v>
      </c>
      <c r="U22" s="189">
        <v>5</v>
      </c>
      <c r="V22" s="189">
        <v>6</v>
      </c>
      <c r="W22" s="189">
        <v>7</v>
      </c>
      <c r="X22" s="189">
        <v>8</v>
      </c>
    </row>
    <row r="23" spans="1:16" ht="12.75">
      <c r="A23" s="6" t="s">
        <v>9</v>
      </c>
      <c r="D23" s="190">
        <v>900</v>
      </c>
      <c r="E23" s="190">
        <v>1.3507</v>
      </c>
      <c r="F23" s="190">
        <v>9.0692</v>
      </c>
      <c r="G23" s="191">
        <f t="shared" si="0"/>
        <v>1190.2896781957227</v>
      </c>
      <c r="H23" s="48"/>
      <c r="I23" s="190">
        <v>1.3369</v>
      </c>
      <c r="J23" s="190">
        <v>8.433544812298672</v>
      </c>
      <c r="K23" s="191">
        <f t="shared" si="1"/>
        <v>1053.0610360464639</v>
      </c>
      <c r="O23">
        <f aca="true" t="shared" si="2" ref="O23:O48">((P23/1000)/$U$11)^2*100</f>
        <v>0</v>
      </c>
      <c r="P23">
        <v>0</v>
      </c>
    </row>
    <row r="24" spans="1:16" ht="12.75">
      <c r="A24" s="6" t="s">
        <v>6</v>
      </c>
      <c r="B24" s="7"/>
      <c r="C24" s="13">
        <f>'Prednast. ventilovej vložky'!$D$8</f>
        <v>65</v>
      </c>
      <c r="D24" s="12">
        <v>300</v>
      </c>
      <c r="E24">
        <v>1.3087</v>
      </c>
      <c r="F24">
        <v>5.8764</v>
      </c>
      <c r="G24" s="11">
        <f t="shared" si="0"/>
        <v>662.7248444262618</v>
      </c>
      <c r="I24">
        <v>1.3011</v>
      </c>
      <c r="J24">
        <v>5.620030257387689</v>
      </c>
      <c r="K24" s="11">
        <f t="shared" si="1"/>
        <v>616.65564073581</v>
      </c>
      <c r="O24">
        <f t="shared" si="2"/>
        <v>0.0004907749801830466</v>
      </c>
      <c r="P24">
        <v>1</v>
      </c>
    </row>
    <row r="25" spans="1:24" ht="12.75">
      <c r="A25" s="6" t="s">
        <v>7</v>
      </c>
      <c r="B25" s="7"/>
      <c r="C25" s="13">
        <f>'Prednast. ventilovej vložky'!$D$9</f>
        <v>50</v>
      </c>
      <c r="D25" s="12">
        <v>400</v>
      </c>
      <c r="E25">
        <v>1.3168</v>
      </c>
      <c r="F25">
        <v>7.141</v>
      </c>
      <c r="G25" s="11">
        <f t="shared" si="0"/>
        <v>829.244979437587</v>
      </c>
      <c r="I25">
        <v>1.3052</v>
      </c>
      <c r="J25">
        <v>6.944782443413136</v>
      </c>
      <c r="K25" s="11">
        <f t="shared" si="1"/>
        <v>773.3784473295456</v>
      </c>
      <c r="O25">
        <f t="shared" si="2"/>
        <v>0.0019630999207321865</v>
      </c>
      <c r="P25">
        <v>2</v>
      </c>
      <c r="Q25">
        <f aca="true" t="shared" si="3" ref="Q25:Q48">((P25/1000)/$R$10)^2*100</f>
        <v>0.05049867440979675</v>
      </c>
      <c r="R25">
        <f aca="true" t="shared" si="4" ref="R25:R48">((P25/1000)/$R$11)^2*100</f>
        <v>0.0048225308641975315</v>
      </c>
      <c r="S25">
        <f aca="true" t="shared" si="5" ref="S25:S48">((P25/1000)/$R$12)^2*100</f>
        <v>0.0026986001011975037</v>
      </c>
      <c r="T25">
        <f aca="true" t="shared" si="6" ref="T25:T48">((P25/1000)/$R$13)^2*100</f>
        <v>0.0016064192513283075</v>
      </c>
      <c r="U25">
        <f aca="true" t="shared" si="7" ref="U25:U48">((P25/1000)/$R$14)^2*100</f>
        <v>0.0007054561744169847</v>
      </c>
      <c r="V25">
        <f aca="true" t="shared" si="8" ref="V25:V48">((P25/1000)/$R$15)^2*100</f>
        <v>0.00043043336030715724</v>
      </c>
      <c r="W25">
        <f aca="true" t="shared" si="9" ref="W25:W48">((P25/1000)/$R$16)^2*100</f>
        <v>0.0003669940253372675</v>
      </c>
      <c r="X25">
        <f aca="true" t="shared" si="10" ref="X25:X48">((P25/1000)/$R$17)^2*100</f>
        <v>0.0003404093081521221</v>
      </c>
    </row>
    <row r="26" spans="1:24" ht="12.75">
      <c r="A26" s="6" t="s">
        <v>8</v>
      </c>
      <c r="B26" s="7"/>
      <c r="C26" s="13">
        <f>'Prednast. ventilovej vložky'!$D$11</f>
        <v>20</v>
      </c>
      <c r="D26" s="12">
        <v>500</v>
      </c>
      <c r="E26">
        <v>1.325</v>
      </c>
      <c r="F26">
        <v>8.2448</v>
      </c>
      <c r="G26" s="11">
        <f t="shared" si="0"/>
        <v>986.1947190003358</v>
      </c>
      <c r="I26">
        <v>1.3092</v>
      </c>
      <c r="J26">
        <v>8.138720580557619</v>
      </c>
      <c r="K26" s="11">
        <f t="shared" si="1"/>
        <v>919.5219677515793</v>
      </c>
      <c r="O26">
        <f t="shared" si="2"/>
        <v>0.004416974821647419</v>
      </c>
      <c r="P26">
        <v>3</v>
      </c>
      <c r="Q26">
        <f t="shared" si="3"/>
        <v>0.11362201742204266</v>
      </c>
      <c r="R26">
        <f t="shared" si="4"/>
        <v>0.010850694444444446</v>
      </c>
      <c r="S26">
        <f t="shared" si="5"/>
        <v>0.0060718502276943835</v>
      </c>
      <c r="T26">
        <f t="shared" si="6"/>
        <v>0.003614443315488693</v>
      </c>
      <c r="U26">
        <f t="shared" si="7"/>
        <v>0.0015872763924382153</v>
      </c>
      <c r="V26">
        <f t="shared" si="8"/>
        <v>0.0009684750606911038</v>
      </c>
      <c r="W26">
        <f t="shared" si="9"/>
        <v>0.0008257365570088519</v>
      </c>
      <c r="X26">
        <f t="shared" si="10"/>
        <v>0.0007659209433422746</v>
      </c>
    </row>
    <row r="27" spans="4:24" ht="12.75">
      <c r="D27" s="12">
        <v>600</v>
      </c>
      <c r="E27">
        <v>1.3331</v>
      </c>
      <c r="F27">
        <v>9.2266</v>
      </c>
      <c r="G27" s="11">
        <f t="shared" si="0"/>
        <v>1136.3867374354543</v>
      </c>
      <c r="I27">
        <v>1.3133</v>
      </c>
      <c r="J27">
        <v>9.217519153641343</v>
      </c>
      <c r="K27" s="11">
        <f t="shared" si="1"/>
        <v>1056.9376883259974</v>
      </c>
      <c r="O27">
        <f t="shared" si="2"/>
        <v>0.007852399682928746</v>
      </c>
      <c r="P27">
        <v>4</v>
      </c>
      <c r="Q27">
        <f t="shared" si="3"/>
        <v>0.201994697639187</v>
      </c>
      <c r="R27">
        <f t="shared" si="4"/>
        <v>0.019290123456790126</v>
      </c>
      <c r="S27">
        <f t="shared" si="5"/>
        <v>0.010794400404790015</v>
      </c>
      <c r="T27">
        <f t="shared" si="6"/>
        <v>0.00642567700531323</v>
      </c>
      <c r="U27">
        <f t="shared" si="7"/>
        <v>0.0028218246976679387</v>
      </c>
      <c r="V27">
        <f t="shared" si="8"/>
        <v>0.001721733441228629</v>
      </c>
      <c r="W27">
        <f t="shared" si="9"/>
        <v>0.00146797610134907</v>
      </c>
      <c r="X27">
        <f t="shared" si="10"/>
        <v>0.0013616372326084884</v>
      </c>
    </row>
    <row r="28" spans="1:24" ht="12.75">
      <c r="A28" s="6" t="s">
        <v>10</v>
      </c>
      <c r="D28" s="190">
        <v>900</v>
      </c>
      <c r="E28" s="48">
        <v>1.3348</v>
      </c>
      <c r="F28" s="48">
        <v>12.674</v>
      </c>
      <c r="G28" s="191">
        <f t="shared" si="0"/>
        <v>1570.5942401240625</v>
      </c>
      <c r="H28" s="48"/>
      <c r="I28" s="48">
        <v>1.3199</v>
      </c>
      <c r="J28" s="48">
        <v>12.179318650689272</v>
      </c>
      <c r="K28" s="191">
        <f t="shared" si="1"/>
        <v>1430.2370956220955</v>
      </c>
      <c r="O28">
        <f t="shared" si="2"/>
        <v>0.012269374504576163</v>
      </c>
      <c r="P28">
        <v>5</v>
      </c>
      <c r="Q28">
        <f t="shared" si="3"/>
        <v>0.3156167150612297</v>
      </c>
      <c r="R28">
        <f t="shared" si="4"/>
        <v>0.030140817901234573</v>
      </c>
      <c r="S28">
        <f t="shared" si="5"/>
        <v>0.016866250632484394</v>
      </c>
      <c r="T28">
        <f t="shared" si="6"/>
        <v>0.010040120320801923</v>
      </c>
      <c r="U28">
        <f t="shared" si="7"/>
        <v>0.004409101090106154</v>
      </c>
      <c r="V28">
        <f t="shared" si="8"/>
        <v>0.0026902085019197336</v>
      </c>
      <c r="W28">
        <f t="shared" si="9"/>
        <v>0.0022937126583579214</v>
      </c>
      <c r="X28">
        <f t="shared" si="10"/>
        <v>0.002127558175950763</v>
      </c>
    </row>
    <row r="29" spans="1:24" ht="12.75">
      <c r="A29" s="6" t="s">
        <v>6</v>
      </c>
      <c r="B29" s="7"/>
      <c r="C29" s="13">
        <f>'Prednast. ventilovej vložky'!$D$8</f>
        <v>65</v>
      </c>
      <c r="D29" s="12">
        <v>300</v>
      </c>
      <c r="E29">
        <v>1.3005</v>
      </c>
      <c r="F29">
        <v>8.568</v>
      </c>
      <c r="G29" s="11">
        <f t="shared" si="0"/>
        <v>938.0859466243552</v>
      </c>
      <c r="I29" s="86">
        <v>1.3022</v>
      </c>
      <c r="J29">
        <v>7.97123792041286</v>
      </c>
      <c r="K29" s="11">
        <f t="shared" si="1"/>
        <v>878.1218387915756</v>
      </c>
      <c r="O29">
        <f t="shared" si="2"/>
        <v>0.017667899286589676</v>
      </c>
      <c r="P29">
        <v>6</v>
      </c>
      <c r="Q29">
        <f t="shared" si="3"/>
        <v>0.4544880696881706</v>
      </c>
      <c r="R29">
        <f t="shared" si="4"/>
        <v>0.04340277777777778</v>
      </c>
      <c r="S29">
        <f t="shared" si="5"/>
        <v>0.024287400910777534</v>
      </c>
      <c r="T29">
        <f t="shared" si="6"/>
        <v>0.014457773261954772</v>
      </c>
      <c r="U29">
        <f t="shared" si="7"/>
        <v>0.006349105569752861</v>
      </c>
      <c r="V29">
        <f t="shared" si="8"/>
        <v>0.0038739002427644153</v>
      </c>
      <c r="W29">
        <f t="shared" si="9"/>
        <v>0.0033029462280354076</v>
      </c>
      <c r="X29">
        <f t="shared" si="10"/>
        <v>0.0030636837733690986</v>
      </c>
    </row>
    <row r="30" spans="1:24" ht="12.75">
      <c r="A30" s="6" t="s">
        <v>7</v>
      </c>
      <c r="B30" s="7"/>
      <c r="C30" s="13">
        <f>'Prednast. ventilovej vložky'!$D$9</f>
        <v>50</v>
      </c>
      <c r="D30" s="12">
        <v>400</v>
      </c>
      <c r="E30">
        <v>1.3151</v>
      </c>
      <c r="F30">
        <v>10.2087</v>
      </c>
      <c r="G30" s="11">
        <f t="shared" si="0"/>
        <v>1178.225519635463</v>
      </c>
      <c r="I30" s="86">
        <v>1.307</v>
      </c>
      <c r="J30">
        <v>9.831329078845508</v>
      </c>
      <c r="K30" s="11">
        <f t="shared" si="1"/>
        <v>1101.9662684767113</v>
      </c>
      <c r="O30">
        <f t="shared" si="2"/>
        <v>0.02404797402896928</v>
      </c>
      <c r="P30">
        <v>7</v>
      </c>
      <c r="Q30">
        <f t="shared" si="3"/>
        <v>0.6186087615200102</v>
      </c>
      <c r="R30">
        <f t="shared" si="4"/>
        <v>0.059076003086419776</v>
      </c>
      <c r="S30">
        <f t="shared" si="5"/>
        <v>0.033057851239669415</v>
      </c>
      <c r="T30">
        <f t="shared" si="6"/>
        <v>0.019678635828771773</v>
      </c>
      <c r="U30">
        <f t="shared" si="7"/>
        <v>0.00864183813660806</v>
      </c>
      <c r="V30">
        <f t="shared" si="8"/>
        <v>0.005272808663762677</v>
      </c>
      <c r="W30">
        <f t="shared" si="9"/>
        <v>0.004495676810381527</v>
      </c>
      <c r="X30">
        <f t="shared" si="10"/>
        <v>0.004170014024863495</v>
      </c>
    </row>
    <row r="31" spans="1:24" ht="12.75">
      <c r="A31" s="6" t="s">
        <v>8</v>
      </c>
      <c r="B31" s="7"/>
      <c r="C31" s="13">
        <f>'Prednast. ventilovej vložky'!$D$11</f>
        <v>20</v>
      </c>
      <c r="D31" s="12">
        <v>500</v>
      </c>
      <c r="E31">
        <v>1.3298</v>
      </c>
      <c r="F31">
        <v>11.5097</v>
      </c>
      <c r="G31" s="11">
        <f t="shared" si="0"/>
        <v>1400.7918705787135</v>
      </c>
      <c r="I31" s="86">
        <v>1.3117</v>
      </c>
      <c r="J31">
        <v>11.524203699327282</v>
      </c>
      <c r="K31" s="11">
        <f t="shared" si="1"/>
        <v>1313.824152141547</v>
      </c>
      <c r="O31">
        <f t="shared" si="2"/>
        <v>0.031409598731714984</v>
      </c>
      <c r="P31">
        <v>8</v>
      </c>
      <c r="Q31">
        <f t="shared" si="3"/>
        <v>0.807978790556748</v>
      </c>
      <c r="R31">
        <f t="shared" si="4"/>
        <v>0.0771604938271605</v>
      </c>
      <c r="S31">
        <f t="shared" si="5"/>
        <v>0.04317760161916006</v>
      </c>
      <c r="T31">
        <f t="shared" si="6"/>
        <v>0.02570270802125292</v>
      </c>
      <c r="U31">
        <f t="shared" si="7"/>
        <v>0.011287298790671755</v>
      </c>
      <c r="V31">
        <f t="shared" si="8"/>
        <v>0.006886933764914516</v>
      </c>
      <c r="W31">
        <f t="shared" si="9"/>
        <v>0.00587190440539628</v>
      </c>
      <c r="X31">
        <f t="shared" si="10"/>
        <v>0.005446548930433954</v>
      </c>
    </row>
    <row r="32" spans="4:24" ht="12.75">
      <c r="D32" s="12">
        <v>600</v>
      </c>
      <c r="E32">
        <v>1.3444</v>
      </c>
      <c r="F32">
        <v>12.5291</v>
      </c>
      <c r="G32" s="11">
        <f t="shared" si="0"/>
        <v>1607.4012279975436</v>
      </c>
      <c r="I32" s="86">
        <v>1.3165</v>
      </c>
      <c r="J32">
        <v>13.072578932485275</v>
      </c>
      <c r="K32" s="11">
        <f t="shared" si="1"/>
        <v>1516.4030497552835</v>
      </c>
      <c r="O32">
        <f t="shared" si="2"/>
        <v>0.039752773394826774</v>
      </c>
      <c r="P32">
        <v>9</v>
      </c>
      <c r="Q32">
        <f t="shared" si="3"/>
        <v>1.022598156798384</v>
      </c>
      <c r="R32">
        <f t="shared" si="4"/>
        <v>0.09765625</v>
      </c>
      <c r="S32">
        <f t="shared" si="5"/>
        <v>0.05464665204924944</v>
      </c>
      <c r="T32">
        <f t="shared" si="6"/>
        <v>0.03252998983939822</v>
      </c>
      <c r="U32">
        <f t="shared" si="7"/>
        <v>0.014285487531943936</v>
      </c>
      <c r="V32">
        <f t="shared" si="8"/>
        <v>0.008716275546219935</v>
      </c>
      <c r="W32">
        <f t="shared" si="9"/>
        <v>0.007431629013079666</v>
      </c>
      <c r="X32">
        <f t="shared" si="10"/>
        <v>0.00689328849008047</v>
      </c>
    </row>
    <row r="33" spans="1:24" ht="12.75">
      <c r="A33" s="6" t="s">
        <v>16</v>
      </c>
      <c r="D33" s="190">
        <v>900</v>
      </c>
      <c r="E33" s="48">
        <v>1.358</v>
      </c>
      <c r="F33" s="48">
        <v>16.1045</v>
      </c>
      <c r="G33" s="191">
        <f t="shared" si="0"/>
        <v>2170.0929679801748</v>
      </c>
      <c r="H33" s="48"/>
      <c r="I33" s="192">
        <v>1.3346</v>
      </c>
      <c r="J33" s="48">
        <v>16.808408219546873</v>
      </c>
      <c r="K33" s="191">
        <f t="shared" si="1"/>
        <v>2081.436936546821</v>
      </c>
      <c r="O33">
        <f t="shared" si="2"/>
        <v>0.049077498018304654</v>
      </c>
      <c r="P33">
        <v>10</v>
      </c>
      <c r="Q33">
        <f t="shared" si="3"/>
        <v>1.2624668602449187</v>
      </c>
      <c r="R33">
        <f t="shared" si="4"/>
        <v>0.1205632716049383</v>
      </c>
      <c r="S33">
        <f t="shared" si="5"/>
        <v>0.06746500252993758</v>
      </c>
      <c r="T33">
        <f t="shared" si="6"/>
        <v>0.04016048128320769</v>
      </c>
      <c r="U33">
        <f t="shared" si="7"/>
        <v>0.017636404360424615</v>
      </c>
      <c r="V33">
        <f t="shared" si="8"/>
        <v>0.010760834007678934</v>
      </c>
      <c r="W33">
        <f t="shared" si="9"/>
        <v>0.009174850633431686</v>
      </c>
      <c r="X33">
        <f t="shared" si="10"/>
        <v>0.008510232703803052</v>
      </c>
    </row>
    <row r="34" spans="1:24" ht="12.75">
      <c r="A34" s="6" t="s">
        <v>6</v>
      </c>
      <c r="B34" s="7"/>
      <c r="C34" s="13">
        <f>'Prednast. ventilovej vložky'!$D$8</f>
        <v>65</v>
      </c>
      <c r="D34" s="12">
        <v>300</v>
      </c>
      <c r="E34">
        <v>1.3187</v>
      </c>
      <c r="F34">
        <v>1.966</v>
      </c>
      <c r="G34" s="11">
        <f t="shared" si="0"/>
        <v>229.872380347736</v>
      </c>
      <c r="I34" s="86">
        <v>1.269</v>
      </c>
      <c r="J34">
        <v>2.206450288051308</v>
      </c>
      <c r="K34" s="11">
        <f t="shared" si="1"/>
        <v>215.6060679681059</v>
      </c>
      <c r="O34">
        <f t="shared" si="2"/>
        <v>0.19630999207321861</v>
      </c>
      <c r="P34">
        <v>20</v>
      </c>
      <c r="Q34">
        <f t="shared" si="3"/>
        <v>5.049867440979675</v>
      </c>
      <c r="R34">
        <f t="shared" si="4"/>
        <v>0.4822530864197532</v>
      </c>
      <c r="S34">
        <f t="shared" si="5"/>
        <v>0.2698600101197503</v>
      </c>
      <c r="T34">
        <f t="shared" si="6"/>
        <v>0.16064192513283077</v>
      </c>
      <c r="U34">
        <f t="shared" si="7"/>
        <v>0.07054561744169846</v>
      </c>
      <c r="V34">
        <f t="shared" si="8"/>
        <v>0.04304333603071574</v>
      </c>
      <c r="W34">
        <f t="shared" si="9"/>
        <v>0.03669940253372674</v>
      </c>
      <c r="X34">
        <f t="shared" si="10"/>
        <v>0.03404093081521221</v>
      </c>
    </row>
    <row r="35" spans="1:24" ht="12.75">
      <c r="A35" s="6" t="s">
        <v>7</v>
      </c>
      <c r="B35" s="7"/>
      <c r="C35" s="13">
        <f>'Prednast. ventilovej vložky'!$D$9</f>
        <v>50</v>
      </c>
      <c r="D35" s="12">
        <v>400</v>
      </c>
      <c r="E35">
        <v>1.3072</v>
      </c>
      <c r="F35">
        <v>2.6638</v>
      </c>
      <c r="G35" s="11">
        <f t="shared" si="0"/>
        <v>298.7936129557247</v>
      </c>
      <c r="I35" s="86">
        <v>1.2674</v>
      </c>
      <c r="J35">
        <v>2.803485486959059</v>
      </c>
      <c r="K35" s="11">
        <f t="shared" si="1"/>
        <v>272.36802647193696</v>
      </c>
      <c r="O35">
        <f t="shared" si="2"/>
        <v>0.4416974821647418</v>
      </c>
      <c r="P35">
        <v>30</v>
      </c>
      <c r="Q35">
        <f t="shared" si="3"/>
        <v>11.362201742204267</v>
      </c>
      <c r="R35">
        <f t="shared" si="4"/>
        <v>1.0850694444444446</v>
      </c>
      <c r="S35">
        <f t="shared" si="5"/>
        <v>0.6071850227694383</v>
      </c>
      <c r="T35">
        <f t="shared" si="6"/>
        <v>0.36144433154886924</v>
      </c>
      <c r="U35">
        <f t="shared" si="7"/>
        <v>0.15872763924382152</v>
      </c>
      <c r="V35">
        <f t="shared" si="8"/>
        <v>0.09684750606911038</v>
      </c>
      <c r="W35">
        <f t="shared" si="9"/>
        <v>0.08257365570088517</v>
      </c>
      <c r="X35">
        <f t="shared" si="10"/>
        <v>0.07659209433422745</v>
      </c>
    </row>
    <row r="36" spans="1:24" ht="12.75">
      <c r="A36" s="6" t="s">
        <v>8</v>
      </c>
      <c r="B36" s="7"/>
      <c r="C36" s="13">
        <f>'Prednast. ventilovej vložky'!$D$11</f>
        <v>20</v>
      </c>
      <c r="D36" s="12">
        <v>500</v>
      </c>
      <c r="E36">
        <v>1.2958</v>
      </c>
      <c r="F36">
        <v>3.3701</v>
      </c>
      <c r="G36" s="11">
        <f t="shared" si="0"/>
        <v>362.77363134132827</v>
      </c>
      <c r="I36" s="86">
        <v>1.2657</v>
      </c>
      <c r="J36">
        <v>3.3668255807261973</v>
      </c>
      <c r="K36" s="11">
        <f t="shared" si="1"/>
        <v>325.0967260281264</v>
      </c>
      <c r="O36">
        <f t="shared" si="2"/>
        <v>0.7852399682928745</v>
      </c>
      <c r="P36">
        <v>40</v>
      </c>
      <c r="Q36">
        <f t="shared" si="3"/>
        <v>20.1994697639187</v>
      </c>
      <c r="R36">
        <f t="shared" si="4"/>
        <v>1.9290123456790127</v>
      </c>
      <c r="S36">
        <f t="shared" si="5"/>
        <v>1.0794400404790012</v>
      </c>
      <c r="T36">
        <f t="shared" si="6"/>
        <v>0.6425677005313231</v>
      </c>
      <c r="U36">
        <f t="shared" si="7"/>
        <v>0.28218246976679384</v>
      </c>
      <c r="V36">
        <f t="shared" si="8"/>
        <v>0.17217334412286295</v>
      </c>
      <c r="W36">
        <f t="shared" si="9"/>
        <v>0.14679761013490697</v>
      </c>
      <c r="X36">
        <f t="shared" si="10"/>
        <v>0.13616372326084883</v>
      </c>
    </row>
    <row r="37" spans="4:24" ht="12.75">
      <c r="D37" s="12">
        <v>600</v>
      </c>
      <c r="E37">
        <v>1.2843</v>
      </c>
      <c r="F37">
        <v>4.0842</v>
      </c>
      <c r="G37" s="11">
        <f t="shared" si="0"/>
        <v>421.7609250808693</v>
      </c>
      <c r="I37" s="86">
        <v>1.2641</v>
      </c>
      <c r="J37">
        <v>3.900430789128174</v>
      </c>
      <c r="K37" s="11">
        <f t="shared" si="1"/>
        <v>374.45146424360365</v>
      </c>
      <c r="O37">
        <f t="shared" si="2"/>
        <v>1.2269374504576165</v>
      </c>
      <c r="P37">
        <v>50</v>
      </c>
      <c r="Q37">
        <f t="shared" si="3"/>
        <v>31.56167150612297</v>
      </c>
      <c r="R37">
        <f t="shared" si="4"/>
        <v>3.014081790123458</v>
      </c>
      <c r="S37">
        <f t="shared" si="5"/>
        <v>1.6866250632484405</v>
      </c>
      <c r="T37">
        <f t="shared" si="6"/>
        <v>1.0040120320801924</v>
      </c>
      <c r="U37">
        <f t="shared" si="7"/>
        <v>0.4409101090106153</v>
      </c>
      <c r="V37">
        <f t="shared" si="8"/>
        <v>0.2690208501919733</v>
      </c>
      <c r="W37">
        <f t="shared" si="9"/>
        <v>0.22937126583579223</v>
      </c>
      <c r="X37">
        <f t="shared" si="10"/>
        <v>0.21275581759507634</v>
      </c>
    </row>
    <row r="38" spans="1:24" ht="12.75">
      <c r="A38" s="6" t="s">
        <v>11</v>
      </c>
      <c r="D38" s="190">
        <v>900</v>
      </c>
      <c r="E38" s="48">
        <v>1.3216</v>
      </c>
      <c r="F38" s="48">
        <v>4.7119</v>
      </c>
      <c r="G38" s="191">
        <f t="shared" si="0"/>
        <v>556.7329735253995</v>
      </c>
      <c r="H38" s="48"/>
      <c r="I38" s="192">
        <v>1.2757</v>
      </c>
      <c r="J38" s="48">
        <v>4.999324239439599</v>
      </c>
      <c r="K38" s="191">
        <f t="shared" si="1"/>
        <v>500.4776178092783</v>
      </c>
      <c r="O38">
        <f t="shared" si="2"/>
        <v>1.7667899286589672</v>
      </c>
      <c r="P38">
        <v>60</v>
      </c>
      <c r="Q38">
        <f t="shared" si="3"/>
        <v>45.44880696881707</v>
      </c>
      <c r="R38">
        <f t="shared" si="4"/>
        <v>4.340277777777779</v>
      </c>
      <c r="S38">
        <f t="shared" si="5"/>
        <v>2.4287400910777532</v>
      </c>
      <c r="T38">
        <f t="shared" si="6"/>
        <v>1.445777326195477</v>
      </c>
      <c r="U38">
        <f t="shared" si="7"/>
        <v>0.6349105569752861</v>
      </c>
      <c r="V38">
        <f t="shared" si="8"/>
        <v>0.38739002427644154</v>
      </c>
      <c r="W38">
        <f t="shared" si="9"/>
        <v>0.33029462280354066</v>
      </c>
      <c r="X38">
        <f t="shared" si="10"/>
        <v>0.3063683773369098</v>
      </c>
    </row>
    <row r="39" spans="1:24" ht="12.75">
      <c r="A39" s="6" t="s">
        <v>6</v>
      </c>
      <c r="B39" s="7"/>
      <c r="C39" s="13">
        <f>'Prednast. ventilovej vložky'!$D$8</f>
        <v>65</v>
      </c>
      <c r="D39" s="12">
        <v>300</v>
      </c>
      <c r="E39" s="106">
        <v>1.263</v>
      </c>
      <c r="F39">
        <v>3.99588234555821</v>
      </c>
      <c r="G39" s="11">
        <f t="shared" si="0"/>
        <v>382.0944223016748</v>
      </c>
      <c r="I39">
        <v>1.2547</v>
      </c>
      <c r="J39">
        <v>3.770974610438571</v>
      </c>
      <c r="K39" s="11">
        <f t="shared" si="1"/>
        <v>349.9420007188954</v>
      </c>
      <c r="O39">
        <f t="shared" si="2"/>
        <v>2.404797402896928</v>
      </c>
      <c r="P39">
        <v>70</v>
      </c>
      <c r="Q39">
        <f t="shared" si="3"/>
        <v>61.86087615200103</v>
      </c>
      <c r="R39">
        <f t="shared" si="4"/>
        <v>5.907600308641977</v>
      </c>
      <c r="S39">
        <f t="shared" si="5"/>
        <v>3.3057851239669422</v>
      </c>
      <c r="T39">
        <f t="shared" si="6"/>
        <v>1.9678635828771773</v>
      </c>
      <c r="U39">
        <f t="shared" si="7"/>
        <v>0.8641838136608064</v>
      </c>
      <c r="V39">
        <f t="shared" si="8"/>
        <v>0.5272808663762677</v>
      </c>
      <c r="W39">
        <f t="shared" si="9"/>
        <v>0.4495676810381528</v>
      </c>
      <c r="X39">
        <f t="shared" si="10"/>
        <v>0.41700140248634954</v>
      </c>
    </row>
    <row r="40" spans="1:24" ht="12.75">
      <c r="A40" s="6" t="s">
        <v>7</v>
      </c>
      <c r="B40" s="7"/>
      <c r="C40" s="13">
        <f>'Prednast. ventilovej vložky'!$D$9</f>
        <v>50</v>
      </c>
      <c r="D40" s="12">
        <v>400</v>
      </c>
      <c r="E40" s="107">
        <v>1.2693</v>
      </c>
      <c r="F40">
        <v>4.861050709765689</v>
      </c>
      <c r="G40" s="11">
        <f t="shared" si="0"/>
        <v>475.5185080977984</v>
      </c>
      <c r="I40">
        <v>1.2595</v>
      </c>
      <c r="J40">
        <v>4.67216397226752</v>
      </c>
      <c r="K40" s="11">
        <f t="shared" si="1"/>
        <v>441.15133682357884</v>
      </c>
      <c r="O40">
        <f t="shared" si="2"/>
        <v>3.140959873171498</v>
      </c>
      <c r="P40">
        <v>80</v>
      </c>
      <c r="Q40">
        <f t="shared" si="3"/>
        <v>80.7978790556748</v>
      </c>
      <c r="R40">
        <f t="shared" si="4"/>
        <v>7.716049382716051</v>
      </c>
      <c r="S40">
        <f t="shared" si="5"/>
        <v>4.317760161916005</v>
      </c>
      <c r="T40">
        <f t="shared" si="6"/>
        <v>2.5702708021252922</v>
      </c>
      <c r="U40">
        <f t="shared" si="7"/>
        <v>1.1287298790671754</v>
      </c>
      <c r="V40">
        <f t="shared" si="8"/>
        <v>0.6886933764914518</v>
      </c>
      <c r="W40">
        <f t="shared" si="9"/>
        <v>0.5871904405396279</v>
      </c>
      <c r="X40">
        <f t="shared" si="10"/>
        <v>0.5446548930433953</v>
      </c>
    </row>
    <row r="41" spans="1:24" ht="12.75">
      <c r="A41" s="6" t="s">
        <v>8</v>
      </c>
      <c r="B41" s="7"/>
      <c r="C41" s="13">
        <f>'Prednast. ventilovej vložky'!$D$11</f>
        <v>20</v>
      </c>
      <c r="D41" s="12">
        <v>500</v>
      </c>
      <c r="E41" s="106">
        <v>1.2755</v>
      </c>
      <c r="F41">
        <v>5.663528440690109</v>
      </c>
      <c r="G41" s="11">
        <f t="shared" si="0"/>
        <v>566.5611794703907</v>
      </c>
      <c r="I41">
        <v>1.2642</v>
      </c>
      <c r="J41">
        <v>5.492928216729248</v>
      </c>
      <c r="K41" s="11">
        <f t="shared" si="1"/>
        <v>527.5257875421254</v>
      </c>
      <c r="O41">
        <f t="shared" si="2"/>
        <v>3.975277339482677</v>
      </c>
      <c r="P41">
        <v>90</v>
      </c>
      <c r="Q41">
        <f t="shared" si="3"/>
        <v>102.25981567983841</v>
      </c>
      <c r="R41">
        <f t="shared" si="4"/>
        <v>9.765625</v>
      </c>
      <c r="S41">
        <f t="shared" si="5"/>
        <v>5.464665204924945</v>
      </c>
      <c r="T41">
        <f t="shared" si="6"/>
        <v>3.2529989839398232</v>
      </c>
      <c r="U41">
        <f t="shared" si="7"/>
        <v>1.4285487531943935</v>
      </c>
      <c r="V41">
        <f t="shared" si="8"/>
        <v>0.8716275546219935</v>
      </c>
      <c r="W41">
        <f t="shared" si="9"/>
        <v>0.7431629013079666</v>
      </c>
      <c r="X41">
        <f t="shared" si="10"/>
        <v>0.689328849008047</v>
      </c>
    </row>
    <row r="42" spans="4:24" ht="12.75">
      <c r="D42" s="12">
        <v>600</v>
      </c>
      <c r="E42" s="106">
        <v>1.2818</v>
      </c>
      <c r="F42">
        <v>6.415601420244847</v>
      </c>
      <c r="G42" s="11">
        <f t="shared" si="0"/>
        <v>656.5629482533565</v>
      </c>
      <c r="I42">
        <v>1.269</v>
      </c>
      <c r="J42">
        <v>6.24315972402152</v>
      </c>
      <c r="K42" s="11">
        <f t="shared" si="1"/>
        <v>610.0582129960158</v>
      </c>
      <c r="O42">
        <f t="shared" si="2"/>
        <v>4.907749801830466</v>
      </c>
      <c r="P42">
        <v>100</v>
      </c>
      <c r="Q42">
        <f t="shared" si="3"/>
        <v>126.24668602449188</v>
      </c>
      <c r="R42">
        <f t="shared" si="4"/>
        <v>12.056327160493831</v>
      </c>
      <c r="S42">
        <f t="shared" si="5"/>
        <v>6.746500252993762</v>
      </c>
      <c r="T42">
        <f t="shared" si="6"/>
        <v>4.01604812832077</v>
      </c>
      <c r="U42">
        <f t="shared" si="7"/>
        <v>1.7636404360424611</v>
      </c>
      <c r="V42">
        <f t="shared" si="8"/>
        <v>1.0760834007678932</v>
      </c>
      <c r="W42">
        <f t="shared" si="9"/>
        <v>0.9174850633431689</v>
      </c>
      <c r="X42">
        <f t="shared" si="10"/>
        <v>0.8510232703803053</v>
      </c>
    </row>
    <row r="43" spans="1:24" ht="12.75">
      <c r="A43" s="6" t="s">
        <v>17</v>
      </c>
      <c r="D43" s="190">
        <v>900</v>
      </c>
      <c r="E43" s="193">
        <v>1.3094</v>
      </c>
      <c r="F43" s="48">
        <v>8.161540206658673</v>
      </c>
      <c r="G43" s="191">
        <f t="shared" si="0"/>
        <v>922.7662941657436</v>
      </c>
      <c r="H43" s="48"/>
      <c r="I43" s="48">
        <v>1.2956</v>
      </c>
      <c r="J43" s="48">
        <v>7.783310604940304</v>
      </c>
      <c r="K43" s="191">
        <f t="shared" si="1"/>
        <v>837.2278354460843</v>
      </c>
      <c r="O43">
        <f t="shared" si="2"/>
        <v>19.630999207321864</v>
      </c>
      <c r="P43">
        <v>200</v>
      </c>
      <c r="Q43">
        <f t="shared" si="3"/>
        <v>504.9867440979675</v>
      </c>
      <c r="R43">
        <f t="shared" si="4"/>
        <v>48.225308641975325</v>
      </c>
      <c r="S43">
        <f t="shared" si="5"/>
        <v>26.98600101197505</v>
      </c>
      <c r="T43">
        <f t="shared" si="6"/>
        <v>16.06419251328308</v>
      </c>
      <c r="U43">
        <f t="shared" si="7"/>
        <v>7.0545617441698445</v>
      </c>
      <c r="V43">
        <f t="shared" si="8"/>
        <v>4.304333603071573</v>
      </c>
      <c r="W43">
        <f t="shared" si="9"/>
        <v>3.6699402533726757</v>
      </c>
      <c r="X43">
        <f t="shared" si="10"/>
        <v>3.4040930815212214</v>
      </c>
    </row>
    <row r="44" spans="1:24" ht="12.75">
      <c r="A44" s="6" t="s">
        <v>6</v>
      </c>
      <c r="B44" s="7"/>
      <c r="C44" s="13">
        <f>'Prednast. ventilovej vložky'!$D$8</f>
        <v>65</v>
      </c>
      <c r="D44" s="12">
        <v>300</v>
      </c>
      <c r="E44">
        <v>1.2831</v>
      </c>
      <c r="F44">
        <v>5.4712</v>
      </c>
      <c r="G44" s="11">
        <f t="shared" si="0"/>
        <v>562.5487520126321</v>
      </c>
      <c r="I44">
        <v>1.2911</v>
      </c>
      <c r="J44">
        <v>5.026989676998801</v>
      </c>
      <c r="K44" s="11">
        <f t="shared" si="1"/>
        <v>532.0233217291106</v>
      </c>
      <c r="O44">
        <f t="shared" si="2"/>
        <v>44.16974821647419</v>
      </c>
      <c r="P44">
        <v>300</v>
      </c>
      <c r="Q44">
        <f t="shared" si="3"/>
        <v>1136.2201742204268</v>
      </c>
      <c r="R44">
        <f t="shared" si="4"/>
        <v>108.50694444444446</v>
      </c>
      <c r="S44">
        <f t="shared" si="5"/>
        <v>60.71850227694382</v>
      </c>
      <c r="T44">
        <f t="shared" si="6"/>
        <v>36.14443315488692</v>
      </c>
      <c r="U44">
        <f t="shared" si="7"/>
        <v>15.872763924382152</v>
      </c>
      <c r="V44">
        <f t="shared" si="8"/>
        <v>9.684750606911038</v>
      </c>
      <c r="W44">
        <f t="shared" si="9"/>
        <v>8.257365570088519</v>
      </c>
      <c r="X44">
        <f t="shared" si="10"/>
        <v>7.659209433422746</v>
      </c>
    </row>
    <row r="45" spans="1:24" ht="12.75">
      <c r="A45" s="6" t="s">
        <v>7</v>
      </c>
      <c r="B45" s="7"/>
      <c r="C45" s="13">
        <f>'Prednast. ventilovej vložky'!$D$9</f>
        <v>50</v>
      </c>
      <c r="D45" s="12">
        <v>400</v>
      </c>
      <c r="E45">
        <v>1.2939</v>
      </c>
      <c r="F45">
        <v>6.6131</v>
      </c>
      <c r="G45" s="11">
        <f t="shared" si="0"/>
        <v>706.9985982120295</v>
      </c>
      <c r="I45">
        <v>1.293</v>
      </c>
      <c r="J45">
        <v>6.2407351688192225</v>
      </c>
      <c r="K45" s="11">
        <f t="shared" si="1"/>
        <v>665.0248778294188</v>
      </c>
      <c r="O45">
        <f t="shared" si="2"/>
        <v>78.52399682928746</v>
      </c>
      <c r="P45">
        <v>400</v>
      </c>
      <c r="Q45">
        <f t="shared" si="3"/>
        <v>2019.94697639187</v>
      </c>
      <c r="R45">
        <f t="shared" si="4"/>
        <v>192.9012345679013</v>
      </c>
      <c r="S45">
        <f t="shared" si="5"/>
        <v>107.9440040479002</v>
      </c>
      <c r="T45">
        <f t="shared" si="6"/>
        <v>64.25677005313231</v>
      </c>
      <c r="U45">
        <f t="shared" si="7"/>
        <v>28.218246976679378</v>
      </c>
      <c r="V45">
        <f t="shared" si="8"/>
        <v>17.21733441228629</v>
      </c>
      <c r="W45">
        <f t="shared" si="9"/>
        <v>14.679761013490703</v>
      </c>
      <c r="X45">
        <f t="shared" si="10"/>
        <v>13.616372326084885</v>
      </c>
    </row>
    <row r="46" spans="1:24" ht="12.75">
      <c r="A46" s="6" t="s">
        <v>8</v>
      </c>
      <c r="B46" s="7"/>
      <c r="C46" s="13">
        <f>'Prednast. ventilovej vložky'!$D$11</f>
        <v>20</v>
      </c>
      <c r="D46" s="12">
        <v>500</v>
      </c>
      <c r="E46">
        <v>1.3048</v>
      </c>
      <c r="F46">
        <v>7.6056</v>
      </c>
      <c r="G46" s="11">
        <f t="shared" si="0"/>
        <v>845.745402025572</v>
      </c>
      <c r="I46">
        <v>1.295</v>
      </c>
      <c r="J46">
        <v>7.389393155533554</v>
      </c>
      <c r="K46" s="11">
        <f t="shared" si="1"/>
        <v>793.1351336038189</v>
      </c>
      <c r="O46">
        <f t="shared" si="2"/>
        <v>122.69374504576164</v>
      </c>
      <c r="P46">
        <v>500</v>
      </c>
      <c r="Q46">
        <f t="shared" si="3"/>
        <v>3156.167150612297</v>
      </c>
      <c r="R46">
        <f t="shared" si="4"/>
        <v>301.40817901234567</v>
      </c>
      <c r="S46">
        <f t="shared" si="5"/>
        <v>168.66250632484397</v>
      </c>
      <c r="T46">
        <f t="shared" si="6"/>
        <v>100.40120320801921</v>
      </c>
      <c r="U46">
        <f t="shared" si="7"/>
        <v>44.09101090106153</v>
      </c>
      <c r="V46">
        <f t="shared" si="8"/>
        <v>26.90208501919733</v>
      </c>
      <c r="W46">
        <f t="shared" si="9"/>
        <v>22.937126583579218</v>
      </c>
      <c r="X46">
        <f t="shared" si="10"/>
        <v>21.275581759507627</v>
      </c>
    </row>
    <row r="47" spans="4:24" ht="12.75">
      <c r="D47" s="12">
        <v>600</v>
      </c>
      <c r="E47">
        <v>1.3156</v>
      </c>
      <c r="F47">
        <v>8.4664</v>
      </c>
      <c r="G47" s="11">
        <f t="shared" si="0"/>
        <v>978.9056508560568</v>
      </c>
      <c r="I47">
        <v>1.2969</v>
      </c>
      <c r="J47">
        <v>8.496847880249184</v>
      </c>
      <c r="K47" s="11">
        <f t="shared" si="1"/>
        <v>918.2812552196982</v>
      </c>
      <c r="O47">
        <f t="shared" si="2"/>
        <v>176.67899286589676</v>
      </c>
      <c r="P47">
        <v>600</v>
      </c>
      <c r="Q47">
        <f t="shared" si="3"/>
        <v>4544.880696881707</v>
      </c>
      <c r="R47">
        <f t="shared" si="4"/>
        <v>434.0277777777778</v>
      </c>
      <c r="S47">
        <f t="shared" si="5"/>
        <v>242.8740091077753</v>
      </c>
      <c r="T47">
        <f t="shared" si="6"/>
        <v>144.57773261954767</v>
      </c>
      <c r="U47">
        <f t="shared" si="7"/>
        <v>63.49105569752861</v>
      </c>
      <c r="V47">
        <f t="shared" si="8"/>
        <v>38.73900242764415</v>
      </c>
      <c r="W47">
        <f t="shared" si="9"/>
        <v>33.029462280354075</v>
      </c>
      <c r="X47">
        <f t="shared" si="10"/>
        <v>30.636837733690985</v>
      </c>
    </row>
    <row r="48" spans="1:24" ht="12.75">
      <c r="A48" s="6" t="s">
        <v>157</v>
      </c>
      <c r="D48" s="190">
        <v>900</v>
      </c>
      <c r="E48" s="48">
        <v>1.3192</v>
      </c>
      <c r="F48" s="48">
        <v>11.7044</v>
      </c>
      <c r="G48" s="191">
        <f t="shared" si="0"/>
        <v>1370.9969980596827</v>
      </c>
      <c r="H48" s="48"/>
      <c r="I48" s="48">
        <v>1.3116</v>
      </c>
      <c r="J48" s="48">
        <v>11.251771803298315</v>
      </c>
      <c r="K48" s="191">
        <f t="shared" si="1"/>
        <v>1282.3022874922492</v>
      </c>
      <c r="O48">
        <f t="shared" si="2"/>
        <v>240.4797402896928</v>
      </c>
      <c r="P48">
        <v>700</v>
      </c>
      <c r="Q48">
        <f t="shared" si="3"/>
        <v>6186.0876152001</v>
      </c>
      <c r="R48">
        <f t="shared" si="4"/>
        <v>590.7600308641977</v>
      </c>
      <c r="S48">
        <f t="shared" si="5"/>
        <v>330.5785123966942</v>
      </c>
      <c r="T48">
        <f t="shared" si="6"/>
        <v>196.78635828771766</v>
      </c>
      <c r="U48">
        <f t="shared" si="7"/>
        <v>86.4183813660806</v>
      </c>
      <c r="V48">
        <f t="shared" si="8"/>
        <v>52.72808663762676</v>
      </c>
      <c r="W48">
        <f t="shared" si="9"/>
        <v>44.95676810381525</v>
      </c>
      <c r="X48">
        <f t="shared" si="10"/>
        <v>41.700140248634945</v>
      </c>
    </row>
    <row r="49" spans="1:11" ht="12.75">
      <c r="A49" s="6" t="s">
        <v>6</v>
      </c>
      <c r="B49" s="7"/>
      <c r="C49" s="13">
        <f>'Prednast. ventilovej vložky'!$D$8</f>
        <v>65</v>
      </c>
      <c r="D49" s="12">
        <v>300</v>
      </c>
      <c r="E49">
        <v>1.2897</v>
      </c>
      <c r="F49">
        <v>3.9408491185457177</v>
      </c>
      <c r="G49" s="11">
        <f t="shared" si="0"/>
        <v>414.97037349451057</v>
      </c>
      <c r="I49">
        <v>1.3088</v>
      </c>
      <c r="J49">
        <v>3.3425316984017504</v>
      </c>
      <c r="K49" s="11">
        <f t="shared" si="1"/>
        <v>377.0980182586825</v>
      </c>
    </row>
    <row r="50" spans="1:11" ht="12.75">
      <c r="A50" s="6" t="s">
        <v>7</v>
      </c>
      <c r="B50" s="7"/>
      <c r="C50" s="13">
        <f>'Prednast. ventilovej vložky'!$D$9</f>
        <v>50</v>
      </c>
      <c r="D50" s="12">
        <v>400</v>
      </c>
      <c r="E50">
        <v>1.2953</v>
      </c>
      <c r="F50">
        <v>4.844517099815134</v>
      </c>
      <c r="G50" s="11">
        <f t="shared" si="0"/>
        <v>520.5462819499572</v>
      </c>
      <c r="I50">
        <v>1.3033</v>
      </c>
      <c r="J50">
        <v>4.342578616877487</v>
      </c>
      <c r="K50" s="11">
        <f t="shared" si="1"/>
        <v>480.2879020636483</v>
      </c>
    </row>
    <row r="51" spans="1:26" ht="12.75">
      <c r="A51" s="6" t="s">
        <v>8</v>
      </c>
      <c r="B51" s="7"/>
      <c r="C51" s="13">
        <f>'Prednast. ventilovej vložky'!$D$11</f>
        <v>20</v>
      </c>
      <c r="D51" s="12">
        <v>500</v>
      </c>
      <c r="E51">
        <v>1.301</v>
      </c>
      <c r="F51">
        <v>5.6679740301486286</v>
      </c>
      <c r="G51" s="11">
        <f t="shared" si="0"/>
        <v>621.6917334522507</v>
      </c>
      <c r="I51">
        <v>1.2977</v>
      </c>
      <c r="J51">
        <v>5.330386875637655</v>
      </c>
      <c r="K51" s="11">
        <f t="shared" si="1"/>
        <v>577.7382442312851</v>
      </c>
      <c r="N51" s="4" t="s">
        <v>415</v>
      </c>
      <c r="O51" s="198">
        <v>1</v>
      </c>
      <c r="P51" s="198">
        <v>2</v>
      </c>
      <c r="Q51" s="198">
        <v>3</v>
      </c>
      <c r="R51" s="198">
        <v>4</v>
      </c>
      <c r="S51" s="198">
        <v>5</v>
      </c>
      <c r="T51" s="198">
        <v>6</v>
      </c>
      <c r="U51" s="198">
        <v>7</v>
      </c>
      <c r="V51" s="198">
        <v>8</v>
      </c>
      <c r="W51" s="101" t="s">
        <v>418</v>
      </c>
      <c r="X51" s="101" t="s">
        <v>420</v>
      </c>
      <c r="Y51" s="101" t="s">
        <v>421</v>
      </c>
      <c r="Z51" s="102" t="s">
        <v>422</v>
      </c>
    </row>
    <row r="52" spans="4:22" ht="12.75">
      <c r="D52" s="12">
        <v>600</v>
      </c>
      <c r="E52">
        <v>1.3066</v>
      </c>
      <c r="F52">
        <v>6.437200628692529</v>
      </c>
      <c r="G52" s="11">
        <f t="shared" si="0"/>
        <v>720.486516249146</v>
      </c>
      <c r="I52">
        <v>1.2918</v>
      </c>
      <c r="J52">
        <v>6.317908301490292</v>
      </c>
      <c r="K52" s="11">
        <f t="shared" si="1"/>
        <v>670.3377721608678</v>
      </c>
      <c r="N52" s="101" t="s">
        <v>416</v>
      </c>
      <c r="O52" s="196">
        <v>0.089</v>
      </c>
      <c r="P52" s="196">
        <v>0.288</v>
      </c>
      <c r="Q52" s="196">
        <v>0.385</v>
      </c>
      <c r="R52" s="196">
        <v>0.499</v>
      </c>
      <c r="S52" s="196">
        <v>0.753</v>
      </c>
      <c r="T52" s="196">
        <v>0.964</v>
      </c>
      <c r="U52" s="196">
        <v>1.044</v>
      </c>
      <c r="V52" s="196">
        <v>1.084</v>
      </c>
    </row>
    <row r="53" spans="4:22" ht="12.75">
      <c r="D53" s="12">
        <v>900</v>
      </c>
      <c r="E53">
        <v>1.3162</v>
      </c>
      <c r="F53">
        <v>8.70776979812384</v>
      </c>
      <c r="G53" s="11">
        <f t="shared" si="0"/>
        <v>1008.9969987327212</v>
      </c>
      <c r="I53">
        <v>1.2659</v>
      </c>
      <c r="J53">
        <v>9.583123477674583</v>
      </c>
      <c r="K53" s="11">
        <f t="shared" si="1"/>
        <v>926.0036300901609</v>
      </c>
      <c r="M53" s="101"/>
      <c r="N53" s="4" t="s">
        <v>417</v>
      </c>
      <c r="O53" s="197">
        <f aca="true" t="shared" si="11" ref="O53:V53">(($U$9/1000)/O$52)^2*100</f>
        <v>77.17183502961278</v>
      </c>
      <c r="P53" s="197">
        <f t="shared" si="11"/>
        <v>7.3697688231766385</v>
      </c>
      <c r="Q53" s="197">
        <f t="shared" si="11"/>
        <v>4.1239878918506525</v>
      </c>
      <c r="R53" s="197">
        <f t="shared" si="11"/>
        <v>2.454922290551294</v>
      </c>
      <c r="S53" s="197">
        <f t="shared" si="11"/>
        <v>1.0780747841208214</v>
      </c>
      <c r="T53" s="197">
        <f t="shared" si="11"/>
        <v>0.6577862223334255</v>
      </c>
      <c r="U53" s="197">
        <f t="shared" si="11"/>
        <v>0.5608385311335371</v>
      </c>
      <c r="V53" s="197">
        <f t="shared" si="11"/>
        <v>0.5202118922583798</v>
      </c>
    </row>
    <row r="54" spans="14:26" ht="12.75">
      <c r="N54" s="101" t="s">
        <v>419</v>
      </c>
      <c r="O54" s="197">
        <f aca="true" t="shared" si="12" ref="O54:V54">ABS(O53-$U$10)</f>
        <v>74.17183502961278</v>
      </c>
      <c r="P54" s="197">
        <f t="shared" si="12"/>
        <v>4.3697688231766385</v>
      </c>
      <c r="Q54" s="197">
        <f t="shared" si="12"/>
        <v>1.1239878918506525</v>
      </c>
      <c r="R54" s="197">
        <f t="shared" si="12"/>
        <v>0.545077709448706</v>
      </c>
      <c r="S54" s="197">
        <f t="shared" si="12"/>
        <v>1.9219252158791786</v>
      </c>
      <c r="T54" s="197">
        <f t="shared" si="12"/>
        <v>2.3422137776665743</v>
      </c>
      <c r="U54" s="197">
        <f t="shared" si="12"/>
        <v>2.439161468866463</v>
      </c>
      <c r="V54" s="197">
        <f t="shared" si="12"/>
        <v>2.47978810774162</v>
      </c>
      <c r="W54" s="42">
        <f>MIN(O54:V54)</f>
        <v>0.545077709448706</v>
      </c>
      <c r="X54" s="199">
        <f>MATCH(W54,O54:V54,0)</f>
        <v>4</v>
      </c>
      <c r="Y54">
        <f>INDEX(O53:V53,1,X54)</f>
        <v>2.454922290551294</v>
      </c>
      <c r="Z54">
        <f>IF(Y54-U10&lt;0,X54-1,X54+1)</f>
        <v>3</v>
      </c>
    </row>
    <row r="55" spans="23:25" ht="12.75">
      <c r="W55" s="101" t="s">
        <v>423</v>
      </c>
      <c r="X55">
        <f>IF(Z54&lt;1,1,IF(Z54&gt;8,8,Z54))</f>
        <v>3</v>
      </c>
      <c r="Y55">
        <f>INDEX(O53:V53,1,X55)</f>
        <v>4.1239878918506525</v>
      </c>
    </row>
    <row r="57" spans="13:17" ht="12.75">
      <c r="M57" s="5" t="s">
        <v>429</v>
      </c>
      <c r="Q57" s="5" t="s">
        <v>430</v>
      </c>
    </row>
    <row r="58" spans="18:21" ht="12.75">
      <c r="R58" s="338" t="s">
        <v>432</v>
      </c>
      <c r="S58" s="329"/>
      <c r="T58" s="338" t="s">
        <v>433</v>
      </c>
      <c r="U58" s="329"/>
    </row>
    <row r="59" spans="13:21" ht="12.75">
      <c r="M59" s="101" t="s">
        <v>424</v>
      </c>
      <c r="N59" s="4" t="s">
        <v>425</v>
      </c>
      <c r="O59">
        <f>IF(X54=X55,"out",(X55-X54)/(Y55-Y54))</f>
        <v>-0.5991376248012693</v>
      </c>
      <c r="Q59" s="4" t="s">
        <v>431</v>
      </c>
      <c r="R59">
        <f>U9</f>
        <v>78.18427624973981</v>
      </c>
      <c r="S59">
        <f>U9</f>
        <v>78.18427624973981</v>
      </c>
      <c r="T59">
        <v>0.1</v>
      </c>
      <c r="U59">
        <f>U10</f>
        <v>3</v>
      </c>
    </row>
    <row r="60" spans="14:21" ht="12.75">
      <c r="N60" s="4" t="s">
        <v>426</v>
      </c>
      <c r="O60">
        <f>IF(O59="out","out",X55-O59*Y55)</f>
        <v>5.470836310232594</v>
      </c>
      <c r="Q60" s="4" t="s">
        <v>434</v>
      </c>
      <c r="R60">
        <v>1</v>
      </c>
      <c r="S60">
        <f>U9</f>
        <v>78.18427624973981</v>
      </c>
      <c r="T60">
        <f>U10</f>
        <v>3</v>
      </c>
      <c r="U60">
        <f>U10</f>
        <v>3</v>
      </c>
    </row>
    <row r="61" spans="14:21" ht="13.5" thickBot="1">
      <c r="N61" s="4" t="s">
        <v>427</v>
      </c>
      <c r="O61" s="200">
        <f>IF(O59="out",X54,O59*U10+O60)</f>
        <v>3.6734234358287856</v>
      </c>
      <c r="Q61" s="4" t="s">
        <v>435</v>
      </c>
      <c r="S61">
        <f>U9</f>
        <v>78.18427624973981</v>
      </c>
      <c r="U61">
        <f>U10</f>
        <v>3</v>
      </c>
    </row>
    <row r="62" spans="14:15" ht="13.5" thickBot="1">
      <c r="N62" s="4" t="s">
        <v>428</v>
      </c>
      <c r="O62" s="201">
        <f>IF(AND(X54=1,Y54&lt;U10),1,IF(AND(X54=8,Y54&gt;8),8,O61))</f>
        <v>3.6734234358287856</v>
      </c>
    </row>
  </sheetData>
  <sheetProtection/>
  <mergeCells count="3">
    <mergeCell ref="Q21:X21"/>
    <mergeCell ref="R58:S58"/>
    <mergeCell ref="T58:U58"/>
  </mergeCells>
  <printOptions/>
  <pageMargins left="0.7" right="0.7" top="0.75" bottom="0.75" header="0.3" footer="0.3"/>
  <pageSetup horizontalDpi="600" verticalDpi="600" orientation="portrait" paperSize="9" r:id="rId4"/>
  <legacyDrawing r:id="rId3"/>
  <oleObjects>
    <oleObject progId="Equation.3" shapeId="361426" r:id="rId2"/>
  </oleObjects>
</worksheet>
</file>

<file path=xl/worksheets/sheet2.xml><?xml version="1.0" encoding="utf-8"?>
<worksheet xmlns="http://schemas.openxmlformats.org/spreadsheetml/2006/main" xmlns:r="http://schemas.openxmlformats.org/officeDocument/2006/relationships">
  <sheetPr codeName="s3"/>
  <dimension ref="A1:M26"/>
  <sheetViews>
    <sheetView showGridLines="0" showRowColHeaders="0" tabSelected="1" zoomScale="150" zoomScaleNormal="150" zoomScalePageLayoutView="0" workbookViewId="0" topLeftCell="A1">
      <selection activeCell="F10" sqref="F10"/>
    </sheetView>
  </sheetViews>
  <sheetFormatPr defaultColWidth="9.140625" defaultRowHeight="12.75"/>
  <cols>
    <col min="1" max="1" width="8.421875" style="0" customWidth="1"/>
    <col min="3" max="3" width="3.57421875" style="0" customWidth="1"/>
    <col min="4" max="4" width="6.8515625" style="0" customWidth="1"/>
    <col min="5" max="5" width="3.28125" style="0" customWidth="1"/>
    <col min="6" max="6" width="6.421875" style="0" customWidth="1"/>
    <col min="7" max="7" width="3.28125" style="0" customWidth="1"/>
    <col min="8" max="8" width="5.00390625" style="0" customWidth="1"/>
    <col min="9" max="9" width="5.8515625" style="0" customWidth="1"/>
    <col min="10" max="10" width="3.00390625" style="0" customWidth="1"/>
    <col min="11" max="11" width="6.28125" style="0" customWidth="1"/>
    <col min="12" max="12" width="8.28125" style="0" customWidth="1"/>
    <col min="13" max="13" width="6.57421875" style="0" customWidth="1"/>
  </cols>
  <sheetData>
    <row r="1" spans="1:13" ht="32.25" customHeight="1" thickBot="1">
      <c r="A1" s="31"/>
      <c r="B1" s="31"/>
      <c r="C1" s="31"/>
      <c r="D1" s="31"/>
      <c r="E1" s="31"/>
      <c r="F1" s="31"/>
      <c r="G1" s="31"/>
      <c r="H1" s="31"/>
      <c r="I1" s="31"/>
      <c r="J1" s="31"/>
      <c r="K1" s="31"/>
      <c r="L1" s="31"/>
      <c r="M1" s="31"/>
    </row>
    <row r="2" spans="1:13" ht="15" customHeight="1" thickBot="1">
      <c r="A2" s="77"/>
      <c r="B2" s="76" t="str">
        <f>INDEX(Preklady!B3:D92,1,Preklady!A1)</f>
        <v>Odhad tepelných strát</v>
      </c>
      <c r="C2" s="76"/>
      <c r="D2" s="76"/>
      <c r="E2" s="76"/>
      <c r="F2" s="76"/>
      <c r="G2" s="77"/>
      <c r="H2" s="77"/>
      <c r="I2" s="77"/>
      <c r="J2" s="77"/>
      <c r="K2" s="77"/>
      <c r="L2" s="77"/>
      <c r="M2" s="77"/>
    </row>
    <row r="3" spans="1:13" ht="12.75">
      <c r="A3" s="31"/>
      <c r="B3" s="31"/>
      <c r="C3" s="31"/>
      <c r="D3" s="31"/>
      <c r="E3" s="31"/>
      <c r="F3" s="31"/>
      <c r="G3" s="31"/>
      <c r="H3" s="31"/>
      <c r="I3" s="31"/>
      <c r="J3" s="31"/>
      <c r="K3" s="31"/>
      <c r="L3" s="31"/>
      <c r="M3" s="31"/>
    </row>
    <row r="4" spans="1:13" ht="15" customHeight="1">
      <c r="A4" s="31"/>
      <c r="B4" s="113" t="str">
        <f>INDEX(Preklady!B3:D92,7,Preklady!A1)</f>
        <v>Rozmery miestnosti</v>
      </c>
      <c r="C4" s="31"/>
      <c r="D4" s="31"/>
      <c r="E4" s="113" t="str">
        <f>INDEX(Preklady!B3:D92,8,Preklady!A1)</f>
        <v>Objem miestnosti</v>
      </c>
      <c r="F4" s="31"/>
      <c r="G4" s="31"/>
      <c r="H4" s="31"/>
      <c r="I4" s="31"/>
      <c r="J4" s="31"/>
      <c r="K4" s="31"/>
      <c r="L4" s="31"/>
      <c r="M4" s="31"/>
    </row>
    <row r="5" spans="1:13" ht="13.5" thickBot="1">
      <c r="A5" s="31"/>
      <c r="B5" s="78"/>
      <c r="C5" s="31"/>
      <c r="D5" s="31"/>
      <c r="E5" s="113"/>
      <c r="F5" s="31"/>
      <c r="G5" s="31"/>
      <c r="H5" s="31"/>
      <c r="I5" s="31"/>
      <c r="J5" s="31"/>
      <c r="K5" s="31"/>
      <c r="L5" s="31"/>
      <c r="M5" s="31"/>
    </row>
    <row r="6" spans="1:13" ht="15" customHeight="1" thickBot="1" thickTop="1">
      <c r="A6" s="117">
        <v>25</v>
      </c>
      <c r="B6" s="339" t="s">
        <v>334</v>
      </c>
      <c r="C6" s="341">
        <f>A6/10</f>
        <v>2.5</v>
      </c>
      <c r="D6" s="340" t="s">
        <v>119</v>
      </c>
      <c r="E6" s="113"/>
      <c r="F6" s="204"/>
      <c r="G6" s="204"/>
      <c r="H6" s="31"/>
      <c r="I6" s="31"/>
      <c r="J6" s="31"/>
      <c r="K6" s="31"/>
      <c r="L6" s="31"/>
      <c r="M6" s="31"/>
    </row>
    <row r="7" spans="1:13" ht="15" customHeight="1" thickBot="1" thickTop="1">
      <c r="A7" s="117">
        <v>40</v>
      </c>
      <c r="B7" s="206" t="s">
        <v>335</v>
      </c>
      <c r="C7" s="342">
        <f>A7/10</f>
        <v>4</v>
      </c>
      <c r="D7" s="204" t="s">
        <v>119</v>
      </c>
      <c r="E7" s="31"/>
      <c r="F7" s="79">
        <f>C6*C7*C8</f>
        <v>35</v>
      </c>
      <c r="G7" s="205" t="s">
        <v>122</v>
      </c>
      <c r="H7" s="115"/>
      <c r="I7" s="31"/>
      <c r="J7" s="31"/>
      <c r="K7" s="31"/>
      <c r="L7" s="31"/>
      <c r="M7" s="31"/>
    </row>
    <row r="8" spans="1:13" ht="15" customHeight="1" thickBot="1" thickTop="1">
      <c r="A8" s="117">
        <v>35</v>
      </c>
      <c r="B8" s="343" t="s">
        <v>336</v>
      </c>
      <c r="C8" s="342">
        <f>A8/10</f>
        <v>3.5</v>
      </c>
      <c r="D8" s="344" t="s">
        <v>119</v>
      </c>
      <c r="E8" s="31"/>
      <c r="F8" s="206"/>
      <c r="G8" s="206"/>
      <c r="H8" s="114"/>
      <c r="I8" s="116"/>
      <c r="J8" s="31"/>
      <c r="K8" s="31"/>
      <c r="L8" s="31"/>
      <c r="M8" s="31"/>
    </row>
    <row r="9" spans="1:13" ht="13.5" thickTop="1">
      <c r="A9" s="31"/>
      <c r="B9" s="31"/>
      <c r="C9" s="31"/>
      <c r="D9" s="31"/>
      <c r="E9" s="31"/>
      <c r="F9" s="31"/>
      <c r="G9" s="31"/>
      <c r="H9" s="31"/>
      <c r="I9" s="31"/>
      <c r="J9" s="31"/>
      <c r="K9" s="31"/>
      <c r="L9" s="31"/>
      <c r="M9" s="31"/>
    </row>
    <row r="10" spans="1:13" ht="23.25" customHeight="1">
      <c r="A10" s="31"/>
      <c r="B10" s="113" t="str">
        <f>INDEX(Preklady!B3:D92,9,Preklady!A1)</f>
        <v>Typ a poloha miestnosti</v>
      </c>
      <c r="C10" s="31"/>
      <c r="D10" s="31"/>
      <c r="E10" s="31"/>
      <c r="F10" s="31"/>
      <c r="G10" s="31"/>
      <c r="H10" s="31"/>
      <c r="I10" s="31"/>
      <c r="J10" s="31"/>
      <c r="K10" s="31"/>
      <c r="L10" s="31"/>
      <c r="M10" s="31"/>
    </row>
    <row r="11" spans="1:13" ht="7.5" customHeight="1">
      <c r="A11" s="31"/>
      <c r="B11" s="31"/>
      <c r="C11" s="31"/>
      <c r="D11" s="31"/>
      <c r="E11" s="31"/>
      <c r="F11" s="31"/>
      <c r="G11" s="31"/>
      <c r="H11" s="31"/>
      <c r="I11" s="31"/>
      <c r="J11" s="31"/>
      <c r="K11" s="31"/>
      <c r="L11" s="31"/>
      <c r="M11" s="31"/>
    </row>
    <row r="12" spans="1:13" ht="12.75">
      <c r="A12" s="31"/>
      <c r="B12" s="114"/>
      <c r="C12" s="114"/>
      <c r="D12" s="31"/>
      <c r="E12" s="31"/>
      <c r="F12" s="31"/>
      <c r="G12" s="31"/>
      <c r="H12" s="31"/>
      <c r="I12" s="31"/>
      <c r="J12" s="31"/>
      <c r="K12" s="31"/>
      <c r="L12" s="31"/>
      <c r="M12" s="31"/>
    </row>
    <row r="13" spans="1:13" ht="12.75">
      <c r="A13" s="31"/>
      <c r="B13" s="31"/>
      <c r="C13" s="31"/>
      <c r="D13" s="31"/>
      <c r="E13" s="31"/>
      <c r="F13" s="31"/>
      <c r="G13" s="31"/>
      <c r="H13" s="31"/>
      <c r="I13" s="31"/>
      <c r="J13" s="31"/>
      <c r="K13" s="31"/>
      <c r="L13" s="31"/>
      <c r="M13" s="31"/>
    </row>
    <row r="14" spans="1:13" ht="12.75">
      <c r="A14" s="31"/>
      <c r="B14" s="114"/>
      <c r="C14" s="114"/>
      <c r="D14" s="31"/>
      <c r="E14" s="31"/>
      <c r="F14" s="31"/>
      <c r="G14" s="31"/>
      <c r="H14" s="31"/>
      <c r="I14" s="31"/>
      <c r="J14" s="31"/>
      <c r="K14" s="31"/>
      <c r="L14" s="31"/>
      <c r="M14" s="31"/>
    </row>
    <row r="15" spans="1:13" ht="21" customHeight="1">
      <c r="A15" s="31"/>
      <c r="B15" s="31"/>
      <c r="C15" s="31"/>
      <c r="D15" s="31"/>
      <c r="E15" s="31"/>
      <c r="F15" s="31"/>
      <c r="G15" s="31"/>
      <c r="H15" s="31"/>
      <c r="I15" s="31"/>
      <c r="J15" s="31"/>
      <c r="K15" s="31"/>
      <c r="L15" s="31"/>
      <c r="M15" s="31"/>
    </row>
    <row r="16" spans="1:13" ht="12.75">
      <c r="A16" s="204"/>
      <c r="B16" s="206"/>
      <c r="C16" s="206"/>
      <c r="D16" s="204"/>
      <c r="E16" s="204"/>
      <c r="F16" s="204"/>
      <c r="G16" s="204"/>
      <c r="H16" s="204"/>
      <c r="I16" s="204"/>
      <c r="J16" s="204"/>
      <c r="K16" s="204"/>
      <c r="L16" s="204"/>
      <c r="M16" s="31"/>
    </row>
    <row r="17" spans="1:13" ht="15.75">
      <c r="A17" s="204"/>
      <c r="B17" s="206"/>
      <c r="C17" s="206"/>
      <c r="D17" s="204"/>
      <c r="E17" s="207"/>
      <c r="F17" s="204"/>
      <c r="G17" s="204"/>
      <c r="H17" s="208" t="str">
        <f>INDEX(Preklady!B3:D92,10,Preklady!A1)</f>
        <v>Odhadovaná tepelná strata miestnosti =</v>
      </c>
      <c r="I17" s="170">
        <f>ROUND($F$7*INDEX(Straty!$F$3:$G$17,Straty!$E$18,1),0)</f>
        <v>1225</v>
      </c>
      <c r="J17" s="171" t="s">
        <v>333</v>
      </c>
      <c r="K17" s="172">
        <f>ROUND($F$7*INDEX(Straty!$F$3:$G$17,Straty!$E$18,2),0)</f>
        <v>1925</v>
      </c>
      <c r="L17" s="209" t="s">
        <v>105</v>
      </c>
      <c r="M17" s="31"/>
    </row>
    <row r="18" spans="1:13" ht="12.75">
      <c r="A18" s="204"/>
      <c r="B18" s="204"/>
      <c r="C18" s="204"/>
      <c r="D18" s="204"/>
      <c r="E18" s="204"/>
      <c r="F18" s="204"/>
      <c r="G18" s="204"/>
      <c r="H18" s="204"/>
      <c r="I18" s="204"/>
      <c r="J18" s="204"/>
      <c r="K18" s="204"/>
      <c r="L18" s="204"/>
      <c r="M18" s="31"/>
    </row>
    <row r="19" spans="1:13" ht="12.75">
      <c r="A19" s="31"/>
      <c r="B19" s="31"/>
      <c r="C19" s="31"/>
      <c r="D19" s="31"/>
      <c r="E19" s="31"/>
      <c r="F19" s="31"/>
      <c r="G19" s="31"/>
      <c r="H19" s="31"/>
      <c r="I19" s="31"/>
      <c r="J19" s="31"/>
      <c r="K19" s="31"/>
      <c r="L19" s="31"/>
      <c r="M19" s="31"/>
    </row>
    <row r="20" s="31" customFormat="1" ht="12.75"/>
    <row r="21" spans="1:13" ht="12.75" customHeight="1">
      <c r="A21" s="285" t="str">
        <f>INDEX(Preklady!B3:D92,11,Preklady!A1)</f>
        <v>* Odhadovaná strata predstavuje len orientačnú hodnotu. K presnému určeniu hodnoty tepelných strát je potrebný výpočet podľa STN EN 12831.</v>
      </c>
      <c r="B21" s="285"/>
      <c r="C21" s="285"/>
      <c r="D21" s="285"/>
      <c r="E21" s="285"/>
      <c r="F21" s="285"/>
      <c r="G21" s="285"/>
      <c r="H21" s="285"/>
      <c r="I21" s="285"/>
      <c r="J21" s="285"/>
      <c r="K21" s="285"/>
      <c r="L21" s="285"/>
      <c r="M21" s="285"/>
    </row>
    <row r="22" spans="1:13" ht="12.75">
      <c r="A22" s="285"/>
      <c r="B22" s="285"/>
      <c r="C22" s="285"/>
      <c r="D22" s="285"/>
      <c r="E22" s="285"/>
      <c r="F22" s="285"/>
      <c r="G22" s="285"/>
      <c r="H22" s="285"/>
      <c r="I22" s="285"/>
      <c r="J22" s="285"/>
      <c r="K22" s="285"/>
      <c r="L22" s="285"/>
      <c r="M22" s="285"/>
    </row>
    <row r="26" ht="12.75">
      <c r="I26" s="163"/>
    </row>
  </sheetData>
  <sheetProtection password="C889" sheet="1" selectLockedCells="1" selectUnlockedCells="1"/>
  <mergeCells count="1">
    <mergeCell ref="A21:M22"/>
  </mergeCells>
  <printOptions/>
  <pageMargins left="0.75" right="0.75" top="1" bottom="1" header="0.4921259845" footer="0.4921259845"/>
  <pageSetup horizontalDpi="600" verticalDpi="600" orientation="portrait" paperSize="9" r:id="rId3"/>
  <ignoredErrors>
    <ignoredError sqref="C6:C8 F7"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s4"/>
  <dimension ref="B2:G18"/>
  <sheetViews>
    <sheetView zoomScalePageLayoutView="0" workbookViewId="0" topLeftCell="C1">
      <selection activeCell="E49" sqref="E49"/>
    </sheetView>
  </sheetViews>
  <sheetFormatPr defaultColWidth="9.140625" defaultRowHeight="12.75"/>
  <cols>
    <col min="2" max="2" width="10.140625" style="0" customWidth="1"/>
    <col min="5" max="5" width="80.7109375" style="0" customWidth="1"/>
  </cols>
  <sheetData>
    <row r="2" ht="12.75">
      <c r="B2" s="52"/>
    </row>
    <row r="3" spans="4:7" ht="12.75">
      <c r="D3">
        <v>1</v>
      </c>
      <c r="E3" t="str">
        <f>INDEX(Preklady!B3:D92,12,Preklady!A1)</f>
        <v>Rohová s 1 oknom, nad nevykurovanou miestnosťou, zhora ochladzovaná</v>
      </c>
      <c r="F3">
        <v>40</v>
      </c>
      <c r="G3">
        <v>50</v>
      </c>
    </row>
    <row r="4" spans="4:7" ht="12.75">
      <c r="D4">
        <v>2</v>
      </c>
      <c r="E4" t="str">
        <f>INDEX(Preklady!B3:D92,13,Preklady!A1)</f>
        <v>Rohová s 1 oknom, nad nevykurovanou miestnosťou, zhora izolovaná</v>
      </c>
      <c r="F4">
        <v>30</v>
      </c>
      <c r="G4">
        <v>50</v>
      </c>
    </row>
    <row r="5" spans="4:7" ht="12.75">
      <c r="D5">
        <v>3</v>
      </c>
      <c r="E5" t="str">
        <f>INDEX(Preklady!B3:D92,14,Preklady!A1)</f>
        <v>Rohová s 1 oknom, nad vykurovanou miestnosťou, zhora ochladzovaná</v>
      </c>
      <c r="F5">
        <v>35</v>
      </c>
      <c r="G5">
        <v>55</v>
      </c>
    </row>
    <row r="6" spans="4:7" ht="12.75">
      <c r="D6">
        <v>4</v>
      </c>
      <c r="E6" t="str">
        <f>INDEX(Preklady!B3:D92,15,Preklady!A1)</f>
        <v>Rohová s 1 oknom, nad vykurovanou miestnosťou, zhora izolovaná</v>
      </c>
      <c r="F6">
        <v>30</v>
      </c>
      <c r="G6">
        <v>45</v>
      </c>
    </row>
    <row r="7" spans="4:7" ht="12.75">
      <c r="D7">
        <v>5</v>
      </c>
      <c r="E7" t="str">
        <f>INDEX(Preklady!B3:D92,16,Preklady!A1)</f>
        <v>Rohová s 2 oknami, nad nevykurovanou miestnosťou, zhora ochladzovaná</v>
      </c>
      <c r="F7">
        <v>45</v>
      </c>
      <c r="G7">
        <v>70</v>
      </c>
    </row>
    <row r="8" spans="4:7" ht="12.75">
      <c r="D8">
        <v>6</v>
      </c>
      <c r="E8" t="str">
        <f>INDEX(Preklady!B3:D92,17,Preklady!A1)</f>
        <v>Rohová s 2 oknami, nad nevykurovanou miestnosťou, zhora izolovaná</v>
      </c>
      <c r="F8">
        <v>40</v>
      </c>
      <c r="G8">
        <v>60</v>
      </c>
    </row>
    <row r="9" spans="4:7" ht="12.75">
      <c r="D9">
        <v>7</v>
      </c>
      <c r="E9" t="str">
        <f>INDEX(Preklady!B3:D92,18,Preklady!A1)</f>
        <v>Rohová s 2 oknami, nad vykurovanou miestnosťou, zhora ochladzovaná</v>
      </c>
      <c r="F9">
        <v>45</v>
      </c>
      <c r="G9">
        <v>65</v>
      </c>
    </row>
    <row r="10" spans="2:7" ht="12.75">
      <c r="B10" s="52"/>
      <c r="D10">
        <v>8</v>
      </c>
      <c r="E10" t="str">
        <f>INDEX(Preklady!B3:D92,19,Preklady!A1)</f>
        <v>Rohová s 2 oknami, nad vykurovanou miestnosťou, zhora izolovaná</v>
      </c>
      <c r="F10">
        <v>35</v>
      </c>
      <c r="G10">
        <v>50</v>
      </c>
    </row>
    <row r="11" spans="4:7" ht="12.75">
      <c r="D11">
        <v>9</v>
      </c>
      <c r="E11" t="str">
        <f>INDEX(Preklady!B3:D92,20,Preklady!A1)</f>
        <v>Vnútorná, nad nevykurovanou miestnosťou, zhora ochladzovaná</v>
      </c>
      <c r="F11">
        <v>35</v>
      </c>
      <c r="G11">
        <v>50</v>
      </c>
    </row>
    <row r="12" spans="4:7" ht="12.75">
      <c r="D12">
        <v>10</v>
      </c>
      <c r="E12" t="str">
        <f>INDEX(Preklady!B3:D92,21,Preklady!A1)</f>
        <v>Vnútorná, nad nevykurovanou miestnosťou, zhora izolovaná</v>
      </c>
      <c r="F12">
        <v>35</v>
      </c>
      <c r="G12">
        <v>45</v>
      </c>
    </row>
    <row r="13" spans="4:7" ht="12.75">
      <c r="D13">
        <v>11</v>
      </c>
      <c r="E13" t="str">
        <f>INDEX(Preklady!B3:D92,22,Preklady!A1)</f>
        <v>Vnútorná, nad vykurovanou miestnosťou, zhora izolovaná</v>
      </c>
      <c r="F13">
        <v>30</v>
      </c>
      <c r="G13">
        <v>40</v>
      </c>
    </row>
    <row r="14" spans="4:7" ht="12.75">
      <c r="D14">
        <v>12</v>
      </c>
      <c r="E14" t="str">
        <f>INDEX(Preklady!B3:D92,23,Preklady!A1)</f>
        <v>Kúpeľňa v obvodovej miestnosti</v>
      </c>
      <c r="F14">
        <v>60</v>
      </c>
      <c r="G14">
        <v>80</v>
      </c>
    </row>
    <row r="15" spans="4:7" ht="12.75">
      <c r="D15">
        <v>13</v>
      </c>
      <c r="E15" t="str">
        <f>INDEX(Preklady!B3:D92,24,Preklady!A1)</f>
        <v>Kúpeľňa vo vnútornej miestnosti</v>
      </c>
      <c r="F15">
        <v>40</v>
      </c>
      <c r="G15">
        <v>60</v>
      </c>
    </row>
    <row r="16" spans="2:7" ht="12.75">
      <c r="B16" s="52"/>
      <c r="D16">
        <v>14</v>
      </c>
      <c r="E16" t="str">
        <f>INDEX(Preklady!B3:D92,25,Preklady!A1)</f>
        <v>Predsieň</v>
      </c>
      <c r="F16">
        <v>15</v>
      </c>
      <c r="G16">
        <v>30</v>
      </c>
    </row>
    <row r="17" spans="4:7" ht="12.75">
      <c r="D17">
        <v>15</v>
      </c>
      <c r="E17" t="str">
        <f>INDEX(Preklady!B3:D92,26,Preklady!A1)</f>
        <v>Schodište</v>
      </c>
      <c r="F17">
        <v>20</v>
      </c>
      <c r="G17">
        <v>35</v>
      </c>
    </row>
    <row r="18" ht="12.75">
      <c r="E18">
        <v>3</v>
      </c>
    </row>
  </sheetData>
  <sheetProtection/>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5"/>
  <dimension ref="A1:U28"/>
  <sheetViews>
    <sheetView showGridLines="0" showRowColHeaders="0" zoomScale="125" zoomScaleNormal="125" zoomScalePageLayoutView="0" workbookViewId="0" topLeftCell="A1">
      <selection activeCell="G32" sqref="G32"/>
    </sheetView>
  </sheetViews>
  <sheetFormatPr defaultColWidth="9.140625" defaultRowHeight="12.75"/>
  <cols>
    <col min="1" max="1" width="6.57421875" style="0" customWidth="1"/>
    <col min="2" max="2" width="8.00390625" style="0" customWidth="1"/>
    <col min="3" max="3" width="7.7109375" style="0" customWidth="1"/>
    <col min="5" max="5" width="13.57421875" style="0" customWidth="1"/>
    <col min="6" max="7" width="2.421875" style="0" customWidth="1"/>
    <col min="8" max="8" width="25.28125" style="0" customWidth="1"/>
    <col min="9" max="9" width="10.00390625" style="0" customWidth="1"/>
    <col min="10" max="10" width="7.140625" style="0" customWidth="1"/>
    <col min="11" max="11" width="1.8515625" style="0" customWidth="1"/>
    <col min="12" max="14" width="11.8515625" style="0" customWidth="1"/>
    <col min="15" max="15" width="6.28125" style="0" customWidth="1"/>
    <col min="16" max="16" width="5.421875" style="0" customWidth="1"/>
    <col min="17" max="17" width="9.57421875" style="0" customWidth="1"/>
  </cols>
  <sheetData>
    <row r="1" spans="1:20" ht="30.75" customHeight="1" thickBot="1">
      <c r="A1" s="40"/>
      <c r="B1" s="40"/>
      <c r="C1" s="40"/>
      <c r="D1" s="40"/>
      <c r="E1" s="40"/>
      <c r="F1" s="31"/>
      <c r="G1" s="172" t="s">
        <v>90</v>
      </c>
      <c r="I1" s="31"/>
      <c r="J1" s="31"/>
      <c r="K1" s="31"/>
      <c r="L1" s="31"/>
      <c r="M1" s="31"/>
      <c r="N1" s="31"/>
      <c r="O1" s="31"/>
      <c r="P1" s="31"/>
      <c r="Q1" s="31"/>
      <c r="R1" s="31"/>
      <c r="S1" s="31"/>
      <c r="T1" s="31"/>
    </row>
    <row r="2" spans="1:20" ht="17.25" customHeight="1" thickBot="1">
      <c r="A2" s="40"/>
      <c r="B2" s="40"/>
      <c r="C2" s="40"/>
      <c r="D2" s="40"/>
      <c r="E2" s="40"/>
      <c r="F2" s="31"/>
      <c r="G2" s="300" t="str">
        <f>INDEX(Preklady!B3:D92,28,Preklady!A1)</f>
        <v>Okno</v>
      </c>
      <c r="H2" s="300"/>
      <c r="I2" s="300"/>
      <c r="J2" s="300"/>
      <c r="K2" s="31"/>
      <c r="L2" s="282" t="str">
        <f>INDEX(Preklady!B3:D92,41,Preklady!A1)</f>
        <v>Vypočítané hodnoty</v>
      </c>
      <c r="M2" s="283"/>
      <c r="N2" s="283"/>
      <c r="O2" s="283"/>
      <c r="P2" s="283"/>
      <c r="Q2" s="31"/>
      <c r="R2" s="31"/>
      <c r="S2" s="31"/>
      <c r="T2" s="31"/>
    </row>
    <row r="3" spans="1:20" ht="15" customHeight="1" thickBot="1">
      <c r="A3" s="40"/>
      <c r="B3" s="40"/>
      <c r="C3" s="40"/>
      <c r="D3" s="40"/>
      <c r="E3" s="40"/>
      <c r="F3" s="31"/>
      <c r="G3" s="189"/>
      <c r="H3" s="210" t="str">
        <f>INDEX(Preklady!B3:D92,29,Preklady!A1)</f>
        <v>Výška Hw =</v>
      </c>
      <c r="I3" s="125">
        <v>1600</v>
      </c>
      <c r="J3" s="214" t="s">
        <v>99</v>
      </c>
      <c r="K3" s="31"/>
      <c r="L3" s="302"/>
      <c r="M3" s="302"/>
      <c r="N3" s="220"/>
      <c r="O3" s="189"/>
      <c r="P3" s="189"/>
      <c r="Q3" s="31"/>
      <c r="R3" s="31"/>
      <c r="S3" s="31"/>
      <c r="T3" s="31"/>
    </row>
    <row r="4" spans="1:20" ht="15" customHeight="1" thickBot="1">
      <c r="A4" s="40"/>
      <c r="B4" s="40"/>
      <c r="C4" s="40"/>
      <c r="D4" s="40"/>
      <c r="E4" s="40"/>
      <c r="F4" s="31"/>
      <c r="G4" s="189"/>
      <c r="H4" s="210" t="str">
        <f>INDEX(Preklady!B3:D92,30,Preklady!A1)</f>
        <v> Šírka Lw =</v>
      </c>
      <c r="I4" s="125">
        <v>1600</v>
      </c>
      <c r="J4" s="214" t="s">
        <v>99</v>
      </c>
      <c r="K4" s="31"/>
      <c r="L4" s="281" t="str">
        <f>INDEX(Preklady!B3:D92,42,Preklady!A1)</f>
        <v>Povrchová teplota okna to =</v>
      </c>
      <c r="M4" s="281"/>
      <c r="N4" s="281"/>
      <c r="O4" s="221">
        <f>I9*(1-I5/8)+I10*(I5/8)</f>
        <v>10.8125</v>
      </c>
      <c r="P4" s="189" t="s">
        <v>100</v>
      </c>
      <c r="Q4" s="31"/>
      <c r="R4" s="31"/>
      <c r="S4" s="31"/>
      <c r="T4" s="31"/>
    </row>
    <row r="5" spans="1:20" ht="15" customHeight="1" thickBot="1">
      <c r="A5" s="40"/>
      <c r="B5" s="40"/>
      <c r="C5" s="40"/>
      <c r="D5" s="40"/>
      <c r="E5" s="40"/>
      <c r="F5" s="122">
        <v>21</v>
      </c>
      <c r="G5" s="211"/>
      <c r="H5" s="210" t="str">
        <f>INDEX(Preklady!B3:D92,31,Preklady!A1)</f>
        <v>Súč. prechodu tepla U =</v>
      </c>
      <c r="I5" s="174">
        <f>F5/10</f>
        <v>2.1</v>
      </c>
      <c r="J5" s="214" t="s">
        <v>155</v>
      </c>
      <c r="K5" s="31"/>
      <c r="L5" s="281" t="str">
        <f>INDEX(Preklady!B3:D92,43,Preklady!A1)</f>
        <v>Výška radiátora vypočítaná Hv  ≥</v>
      </c>
      <c r="M5" s="281"/>
      <c r="N5" s="281"/>
      <c r="O5" s="221">
        <f>I3*((I9-O4)/(I13-I9))</f>
        <v>420</v>
      </c>
      <c r="P5" s="189" t="s">
        <v>99</v>
      </c>
      <c r="Q5" s="31"/>
      <c r="R5" s="31"/>
      <c r="S5" s="31"/>
      <c r="T5" s="31"/>
    </row>
    <row r="6" spans="1:20" ht="15" customHeight="1" thickBot="1">
      <c r="A6" s="40"/>
      <c r="B6" s="40"/>
      <c r="C6" s="40"/>
      <c r="D6" s="40"/>
      <c r="E6" s="40"/>
      <c r="F6" s="175"/>
      <c r="G6" s="212"/>
      <c r="H6" s="213" t="str">
        <f>INDEX(Preklady!B3:D92,32,Preklady!A1)</f>
        <v>Výška parapetu Hp =</v>
      </c>
      <c r="I6" s="126">
        <v>850</v>
      </c>
      <c r="J6" s="215" t="s">
        <v>99</v>
      </c>
      <c r="K6" s="31"/>
      <c r="L6" s="284" t="str">
        <f>INDEX(Preklady!B3:D92,44,Preklady!A1)</f>
        <v>Výška radiátora doporučená Hdop =</v>
      </c>
      <c r="M6" s="284"/>
      <c r="N6" s="284"/>
      <c r="O6" s="216">
        <f>I6-210</f>
        <v>640</v>
      </c>
      <c r="P6" s="215" t="s">
        <v>99</v>
      </c>
      <c r="Q6" s="31"/>
      <c r="R6" s="31"/>
      <c r="S6" s="31"/>
      <c r="T6" s="31"/>
    </row>
    <row r="7" spans="1:20" ht="17.25" customHeight="1" thickBot="1">
      <c r="A7" s="40"/>
      <c r="B7" s="40"/>
      <c r="C7" s="40"/>
      <c r="D7" s="40"/>
      <c r="E7" s="40"/>
      <c r="F7" s="123"/>
      <c r="G7" s="118"/>
      <c r="H7" s="31"/>
      <c r="I7" s="31"/>
      <c r="J7" s="31"/>
      <c r="K7" s="31"/>
      <c r="L7" s="31"/>
      <c r="M7" s="31"/>
      <c r="N7" s="31"/>
      <c r="O7" s="31"/>
      <c r="P7" s="31"/>
      <c r="Q7" s="31"/>
      <c r="R7" s="31"/>
      <c r="S7" s="31"/>
      <c r="T7" s="31"/>
    </row>
    <row r="8" spans="1:20" ht="17.25" customHeight="1" thickBot="1">
      <c r="A8" s="40"/>
      <c r="B8" s="40"/>
      <c r="C8" s="40"/>
      <c r="D8" s="40"/>
      <c r="E8" s="40"/>
      <c r="F8" s="123"/>
      <c r="G8" s="303" t="str">
        <f>INDEX(Preklady!B3:D92,33,Preklady!A1)</f>
        <v>Výpočtové teploty</v>
      </c>
      <c r="H8" s="303"/>
      <c r="I8" s="303"/>
      <c r="J8" s="303"/>
      <c r="K8" s="31"/>
      <c r="L8" s="301" t="str">
        <f>INDEX(Preklady!B3:D92,2,Preklady!A1)</f>
        <v>Výber radiátora</v>
      </c>
      <c r="M8" s="301"/>
      <c r="N8" s="283"/>
      <c r="O8" s="283"/>
      <c r="P8" s="283"/>
      <c r="Q8" s="31"/>
      <c r="R8" s="31"/>
      <c r="S8" s="31"/>
      <c r="T8" s="31"/>
    </row>
    <row r="9" spans="1:20" ht="18" customHeight="1" thickBot="1">
      <c r="A9" s="40"/>
      <c r="B9" s="40"/>
      <c r="C9" s="40"/>
      <c r="D9" s="40"/>
      <c r="E9" s="40"/>
      <c r="F9" s="123"/>
      <c r="G9" s="210"/>
      <c r="H9" s="210" t="str">
        <f>INDEX(Preklady!B3:D92,34,Preklady!A1)</f>
        <v>Miestnosť   ti =</v>
      </c>
      <c r="I9" s="125">
        <v>20</v>
      </c>
      <c r="J9" s="214" t="s">
        <v>100</v>
      </c>
      <c r="K9" s="31"/>
      <c r="L9" s="304" t="str">
        <f>INDEX(Preklady!B3:D92,45,Preklady!A1)</f>
        <v>Vyber výšku radiátora H = </v>
      </c>
      <c r="M9" s="304"/>
      <c r="N9" s="304"/>
      <c r="O9" s="189"/>
      <c r="P9" s="210" t="s">
        <v>99</v>
      </c>
      <c r="Q9" s="123">
        <f>výber!B10</f>
        <v>5</v>
      </c>
      <c r="R9" s="31"/>
      <c r="S9" s="31"/>
      <c r="T9" s="31"/>
    </row>
    <row r="10" spans="1:20" ht="15" customHeight="1" thickBot="1">
      <c r="A10" s="40"/>
      <c r="B10" s="40"/>
      <c r="C10" s="40"/>
      <c r="D10" s="40"/>
      <c r="E10" s="40"/>
      <c r="F10" s="122">
        <v>15</v>
      </c>
      <c r="G10" s="210"/>
      <c r="H10" s="210" t="str">
        <f>INDEX(Preklady!B3:D92,35,Preklady!A1)</f>
        <v>Vonkajšia  te =</v>
      </c>
      <c r="I10" s="125">
        <f>-30+F10</f>
        <v>-15</v>
      </c>
      <c r="J10" s="214" t="s">
        <v>100</v>
      </c>
      <c r="K10" s="31"/>
      <c r="L10" s="189"/>
      <c r="M10" s="222"/>
      <c r="N10" s="223" t="str">
        <f>INDEX(Preklady!B3:D92,47,Preklady!A1)</f>
        <v>Plan</v>
      </c>
      <c r="O10" s="189"/>
      <c r="P10" s="189"/>
      <c r="Q10" s="123"/>
      <c r="R10" s="31"/>
      <c r="S10" s="31"/>
      <c r="T10" s="31"/>
    </row>
    <row r="11" spans="1:20" ht="15" customHeight="1" thickBot="1">
      <c r="A11" s="40"/>
      <c r="B11" s="40"/>
      <c r="C11" s="40"/>
      <c r="D11" s="40"/>
      <c r="E11" s="40"/>
      <c r="F11" s="31"/>
      <c r="G11" s="210"/>
      <c r="H11" s="210" t="str">
        <f>INDEX(Preklady!B3:D92,36,Preklady!A1)</f>
        <v>Vstupná teplota vody  t1 =</v>
      </c>
      <c r="I11" s="125">
        <v>65</v>
      </c>
      <c r="J11" s="214" t="s">
        <v>100</v>
      </c>
      <c r="K11" s="31"/>
      <c r="L11" s="119" t="str">
        <f>INDEX(Preklady!B3:D92,46,Preklady!A1)</f>
        <v>Doporučené telesá:</v>
      </c>
      <c r="M11" s="119"/>
      <c r="N11" s="39"/>
      <c r="O11" s="31"/>
      <c r="P11" s="31"/>
      <c r="Q11" s="123"/>
      <c r="R11" s="31"/>
      <c r="S11" s="31"/>
      <c r="T11" s="31"/>
    </row>
    <row r="12" spans="1:21" ht="14.25" customHeight="1" thickBot="1">
      <c r="A12" s="40"/>
      <c r="B12" s="40"/>
      <c r="C12" s="40"/>
      <c r="D12" s="40"/>
      <c r="E12" s="40"/>
      <c r="F12" s="31"/>
      <c r="G12" s="217"/>
      <c r="H12" s="217" t="str">
        <f>INDEX(Preklady!B3:D92,37,Preklady!A1)</f>
        <v>Teplotný rozdiel t1-t2 =</v>
      </c>
      <c r="I12" s="126">
        <v>10</v>
      </c>
      <c r="J12" s="214" t="s">
        <v>100</v>
      </c>
      <c r="K12" s="31"/>
      <c r="L12" s="224" t="str">
        <f>INDEX(Preklady!B3:D92,48,Preklady!A1)</f>
        <v>Typ</v>
      </c>
      <c r="M12" s="224" t="str">
        <f>INDEX(Preklady!B3:D92,49,Preklady!A1)</f>
        <v>Dĺžka</v>
      </c>
      <c r="N12" s="224" t="str">
        <f>INDEX(Preklady!B3:D92,50,Preklady!A1)</f>
        <v>Výkon</v>
      </c>
      <c r="O12" s="286" t="str">
        <f>INDEX(Preklady!B3:D92,51,Preklady!A1)</f>
        <v>Odchýlka</v>
      </c>
      <c r="P12" s="287"/>
      <c r="Q12" s="123" t="s">
        <v>160</v>
      </c>
      <c r="R12" s="96" t="s">
        <v>161</v>
      </c>
      <c r="S12" s="96">
        <v>550</v>
      </c>
      <c r="T12" s="97" t="s">
        <v>162</v>
      </c>
      <c r="U12" s="98" t="s">
        <v>163</v>
      </c>
    </row>
    <row r="13" spans="1:21" ht="17.25" customHeight="1" thickBot="1">
      <c r="A13" s="40"/>
      <c r="B13" s="40"/>
      <c r="C13" s="40"/>
      <c r="D13" s="40"/>
      <c r="E13" s="40"/>
      <c r="F13" s="31"/>
      <c r="G13" s="213"/>
      <c r="H13" s="213" t="str">
        <f>INDEX(Preklady!B3:D92,38,Preklady!A1)</f>
        <v>Výstupná teplota vody  t2 =</v>
      </c>
      <c r="I13" s="216">
        <f>I11-I12</f>
        <v>55</v>
      </c>
      <c r="J13" s="215" t="s">
        <v>100</v>
      </c>
      <c r="K13" s="31"/>
      <c r="L13" s="71">
        <v>10</v>
      </c>
      <c r="M13" s="71">
        <f>IF(S13=TRUE,T13,R13)</f>
        <v>2100</v>
      </c>
      <c r="N13" s="71">
        <f>ROUND(INDEX(výber!G42:Z47,výber!$B$10,výber!V11)*M13/1000,0)</f>
        <v>979</v>
      </c>
      <c r="O13" s="299">
        <f>(N13-$I$16)/$I$16</f>
        <v>-0.021</v>
      </c>
      <c r="P13" s="298"/>
      <c r="Q13" s="123" t="b">
        <f>INDEX(výber!R42:V47,výber!B10,výber!W11)</f>
        <v>0</v>
      </c>
      <c r="R13" s="99">
        <f>INDEX(výber!Q42:U47,výber!$B$10,výber!W11)</f>
        <v>2100</v>
      </c>
      <c r="S13" s="96" t="b">
        <f>AND($Q$9=4,R13&gt;1000)</f>
        <v>0</v>
      </c>
      <c r="T13" s="96">
        <f>EVEN(R13/100)*100</f>
        <v>2200</v>
      </c>
      <c r="U13" s="95" t="b">
        <f>IF(M13&gt;2000,TRUE,FALSE)</f>
        <v>1</v>
      </c>
    </row>
    <row r="14" spans="1:21" ht="17.25" customHeight="1" thickBot="1">
      <c r="A14" s="40"/>
      <c r="B14" s="40"/>
      <c r="C14" s="40"/>
      <c r="D14" s="40"/>
      <c r="E14" s="40"/>
      <c r="F14" s="31"/>
      <c r="G14" s="31"/>
      <c r="H14" s="31"/>
      <c r="I14" s="31"/>
      <c r="J14" s="31"/>
      <c r="K14" s="31"/>
      <c r="L14" s="71">
        <v>11</v>
      </c>
      <c r="M14" s="71">
        <f aca="true" t="shared" si="0" ref="M14:M20">IF(S14=TRUE,T14,R14)</f>
        <v>1400</v>
      </c>
      <c r="N14" s="71">
        <f>ROUND(INDEX(výber!G14:Z19,výber!$B$10,výber!V11)*M14/1000,0)</f>
        <v>1005</v>
      </c>
      <c r="O14" s="297">
        <f>(N14-$I$16)/$I$16</f>
        <v>0.005</v>
      </c>
      <c r="P14" s="298"/>
      <c r="Q14" s="123" t="b">
        <f>INDEX(výber!R14:V19,výber!B10,výber!W11)</f>
        <v>0</v>
      </c>
      <c r="R14" s="99">
        <f>INDEX(výber!Q14:U19,výber!$B$10,výber!W11)</f>
        <v>1400</v>
      </c>
      <c r="S14" s="96" t="b">
        <f aca="true" t="shared" si="1" ref="S14:S20">AND($Q$9=4,R14&gt;1000)</f>
        <v>0</v>
      </c>
      <c r="T14" s="96">
        <f aca="true" t="shared" si="2" ref="T14:T20">EVEN(R14/100)*100</f>
        <v>1400</v>
      </c>
      <c r="U14" s="95" t="b">
        <f aca="true" t="shared" si="3" ref="U14:U20">IF(M14&gt;2000,TRUE,FALSE)</f>
        <v>0</v>
      </c>
    </row>
    <row r="15" spans="1:21" ht="17.25" customHeight="1" thickBot="1">
      <c r="A15" s="40"/>
      <c r="B15" s="40"/>
      <c r="C15" s="40"/>
      <c r="D15" s="40"/>
      <c r="E15" s="40"/>
      <c r="F15" s="31"/>
      <c r="G15" s="301" t="str">
        <f>INDEX(Preklady!B3:D92,39,Preklady!A1)</f>
        <v>Požadovaný výkon</v>
      </c>
      <c r="H15" s="301"/>
      <c r="I15" s="301"/>
      <c r="J15" s="301"/>
      <c r="K15" s="31"/>
      <c r="L15" s="71">
        <v>20</v>
      </c>
      <c r="M15" s="71">
        <f t="shared" si="0"/>
        <v>1400</v>
      </c>
      <c r="N15" s="71">
        <f>ROUND(INDEX(výber!G49:Z54,výber!$B$10,výber!V11)*M15/1000,0)</f>
        <v>1016</v>
      </c>
      <c r="O15" s="299">
        <f>(N15-$I$16)/$I$16</f>
        <v>0.016</v>
      </c>
      <c r="P15" s="298"/>
      <c r="Q15" s="123" t="b">
        <f>INDEX(výber!R49:V54,výber!B10,výber!W11)</f>
        <v>0</v>
      </c>
      <c r="R15" s="99">
        <f>INDEX(výber!Q49:U54,výber!$B$10,výber!W11)</f>
        <v>1400</v>
      </c>
      <c r="S15" s="96" t="b">
        <f t="shared" si="1"/>
        <v>0</v>
      </c>
      <c r="T15" s="96">
        <f t="shared" si="2"/>
        <v>1400</v>
      </c>
      <c r="U15" s="95" t="b">
        <f>IF(M15&gt;2000,TRUE,FALSE)</f>
        <v>0</v>
      </c>
    </row>
    <row r="16" spans="1:21" ht="17.25" customHeight="1" thickBot="1">
      <c r="A16" s="40"/>
      <c r="B16" s="40"/>
      <c r="C16" s="40"/>
      <c r="D16" s="40"/>
      <c r="E16" s="40"/>
      <c r="F16" s="31"/>
      <c r="G16" s="218"/>
      <c r="H16" s="219" t="str">
        <f>INDEX(Preklady!B3:D92,40,Preklady!A1)</f>
        <v>Tepelná strata miestnosti Q =</v>
      </c>
      <c r="I16" s="124">
        <v>1000</v>
      </c>
      <c r="J16" s="218" t="s">
        <v>105</v>
      </c>
      <c r="K16" s="31"/>
      <c r="L16" s="120" t="s">
        <v>158</v>
      </c>
      <c r="M16" s="71">
        <f t="shared" si="0"/>
        <v>1300</v>
      </c>
      <c r="N16" s="71">
        <f>ROUND(INDEX(výber!G63:Z68,výber!$B$10,výber!V11)*M16/1000,0)</f>
        <v>1037</v>
      </c>
      <c r="O16" s="297">
        <f>(N16-$I$16)/$I$16</f>
        <v>0.037</v>
      </c>
      <c r="P16" s="298"/>
      <c r="Q16" s="123" t="b">
        <f>INDEX(výber!R63:V68,výber!B10,výber!W11)</f>
        <v>0</v>
      </c>
      <c r="R16" s="99">
        <f>INDEX(výber!Q63:U68,výber!$B$10,výber!W11)</f>
        <v>1300</v>
      </c>
      <c r="S16" s="96" t="b">
        <f t="shared" si="1"/>
        <v>0</v>
      </c>
      <c r="T16" s="96">
        <f t="shared" si="2"/>
        <v>1400</v>
      </c>
      <c r="U16" s="95" t="b">
        <f t="shared" si="3"/>
        <v>0</v>
      </c>
    </row>
    <row r="17" spans="1:21" ht="17.25" customHeight="1">
      <c r="A17" s="40"/>
      <c r="B17" s="40"/>
      <c r="C17" s="40"/>
      <c r="D17" s="40"/>
      <c r="E17" s="40"/>
      <c r="F17" s="31"/>
      <c r="G17" s="31"/>
      <c r="H17" s="31"/>
      <c r="I17" s="31"/>
      <c r="J17" s="114"/>
      <c r="K17" s="31"/>
      <c r="L17" s="71">
        <v>21</v>
      </c>
      <c r="M17" s="71">
        <f t="shared" si="0"/>
        <v>1100</v>
      </c>
      <c r="N17" s="71">
        <f>ROUND(INDEX(výber!G21:Z26,výber!$B$10,výber!V11)*M17/1000,0)</f>
        <v>1047</v>
      </c>
      <c r="O17" s="297">
        <f>(N17-$I$16)/$I$16</f>
        <v>0.047</v>
      </c>
      <c r="P17" s="298"/>
      <c r="Q17" s="123" t="b">
        <f>INDEX(výber!R21:V26,výber!B10,výber!W11)</f>
        <v>0</v>
      </c>
      <c r="R17" s="99">
        <f>INDEX(výber!Q21:U26,výber!$B$10,výber!W11)</f>
        <v>1100</v>
      </c>
      <c r="S17" s="96" t="b">
        <f t="shared" si="1"/>
        <v>0</v>
      </c>
      <c r="T17" s="96">
        <f t="shared" si="2"/>
        <v>1200</v>
      </c>
      <c r="U17" s="95" t="b">
        <f t="shared" si="3"/>
        <v>0</v>
      </c>
    </row>
    <row r="18" spans="1:21" ht="17.25" customHeight="1">
      <c r="A18" s="40"/>
      <c r="B18" s="40"/>
      <c r="C18" s="40"/>
      <c r="D18" s="40"/>
      <c r="E18" s="40"/>
      <c r="F18" s="31"/>
      <c r="G18" s="31"/>
      <c r="H18" s="31"/>
      <c r="I18" s="31"/>
      <c r="J18" s="121"/>
      <c r="K18" s="31"/>
      <c r="L18" s="71">
        <v>22</v>
      </c>
      <c r="M18" s="71">
        <f t="shared" si="0"/>
        <v>800</v>
      </c>
      <c r="N18" s="71">
        <f>ROUND(INDEX(výber!G28:Z33,výber!$B$10,výber!V11)*M18/1000,0)</f>
        <v>1009</v>
      </c>
      <c r="O18" s="297">
        <f>1-$I$16/N18</f>
        <v>0.008919722497522264</v>
      </c>
      <c r="P18" s="298"/>
      <c r="Q18" s="123" t="b">
        <f>INDEX(výber!R28:V33,výber!B10,výber!W11)</f>
        <v>0</v>
      </c>
      <c r="R18" s="99">
        <f>INDEX(výber!Q28:U33,výber!$B$10,výber!W11)</f>
        <v>800</v>
      </c>
      <c r="S18" s="96" t="b">
        <f t="shared" si="1"/>
        <v>0</v>
      </c>
      <c r="T18" s="96">
        <f t="shared" si="2"/>
        <v>800</v>
      </c>
      <c r="U18" s="95" t="b">
        <f t="shared" si="3"/>
        <v>0</v>
      </c>
    </row>
    <row r="19" spans="1:21" ht="16.5" customHeight="1">
      <c r="A19" s="40"/>
      <c r="B19" s="40"/>
      <c r="C19" s="40"/>
      <c r="D19" s="40"/>
      <c r="E19" s="40"/>
      <c r="F19" s="31"/>
      <c r="G19" s="31"/>
      <c r="H19" s="31"/>
      <c r="I19" s="31"/>
      <c r="J19" s="31"/>
      <c r="K19" s="31"/>
      <c r="L19" s="71">
        <v>30</v>
      </c>
      <c r="M19" s="71">
        <f t="shared" si="0"/>
        <v>900</v>
      </c>
      <c r="N19" s="71">
        <f>ROUND(INDEX(výber!G56:Z61,výber!$B$10,výber!V11)*M19/1000,0)</f>
        <v>976</v>
      </c>
      <c r="O19" s="297">
        <f>1-$I$16/N19</f>
        <v>-0.024590163934426146</v>
      </c>
      <c r="P19" s="298"/>
      <c r="Q19" s="123" t="b">
        <f>INDEX(výber!R56:V61,výber!B10,výber!W11)</f>
        <v>0</v>
      </c>
      <c r="R19" s="99">
        <f>INDEX(výber!Q56:U61,výber!$B$10,výber!W11)</f>
        <v>900</v>
      </c>
      <c r="S19" s="96" t="b">
        <f t="shared" si="1"/>
        <v>0</v>
      </c>
      <c r="T19" s="96">
        <f t="shared" si="2"/>
        <v>1000</v>
      </c>
      <c r="U19" s="95" t="b">
        <f t="shared" si="3"/>
        <v>0</v>
      </c>
    </row>
    <row r="20" spans="1:21" ht="15.75" customHeight="1">
      <c r="A20" s="40"/>
      <c r="B20" s="40"/>
      <c r="C20" s="40"/>
      <c r="D20" s="40"/>
      <c r="E20" s="40"/>
      <c r="F20" s="31"/>
      <c r="G20" s="31"/>
      <c r="H20" s="31"/>
      <c r="I20" s="31"/>
      <c r="J20" s="31"/>
      <c r="K20" s="31"/>
      <c r="L20" s="71">
        <v>33</v>
      </c>
      <c r="M20" s="71">
        <f t="shared" si="0"/>
        <v>600</v>
      </c>
      <c r="N20" s="71">
        <f>ROUND(INDEX(výber!G35:Z40,výber!$B$10,výber!V11)*M20/1000,0)</f>
        <v>1071</v>
      </c>
      <c r="O20" s="297">
        <f>1-$I$16/N20</f>
        <v>0.06629318394024275</v>
      </c>
      <c r="P20" s="298"/>
      <c r="Q20" s="123" t="b">
        <f>INDEX(výber!R35:V40,výber!B10,výber!W11)</f>
        <v>0</v>
      </c>
      <c r="R20" s="99">
        <f>INDEX(výber!Q35:U40,výber!$B$10,výber!W11)</f>
        <v>600</v>
      </c>
      <c r="S20" s="96" t="b">
        <f t="shared" si="1"/>
        <v>0</v>
      </c>
      <c r="T20" s="96">
        <f t="shared" si="2"/>
        <v>600</v>
      </c>
      <c r="U20" s="95" t="b">
        <f t="shared" si="3"/>
        <v>0</v>
      </c>
    </row>
    <row r="21" spans="1:21" ht="13.5" thickBot="1">
      <c r="A21" s="31"/>
      <c r="B21" s="31"/>
      <c r="C21" s="31"/>
      <c r="D21" s="31"/>
      <c r="E21" s="31"/>
      <c r="F21" s="31"/>
      <c r="G21" s="31"/>
      <c r="H21" s="31"/>
      <c r="I21" s="31"/>
      <c r="J21" s="31"/>
      <c r="K21" s="31"/>
      <c r="L21" s="31"/>
      <c r="M21" s="31"/>
      <c r="N21" s="31"/>
      <c r="O21" s="31"/>
      <c r="P21" s="31"/>
      <c r="Q21" s="100"/>
      <c r="R21" s="102"/>
      <c r="S21" s="100"/>
      <c r="T21" s="100"/>
      <c r="U21" s="101"/>
    </row>
    <row r="22" spans="1:20" ht="13.5" thickTop="1">
      <c r="A22" s="31"/>
      <c r="B22" s="31"/>
      <c r="C22" s="31"/>
      <c r="D22" s="31"/>
      <c r="E22" s="31"/>
      <c r="F22" s="31"/>
      <c r="G22" s="31"/>
      <c r="H22" s="288" t="str">
        <f>INDEX(Preklady!B3:D92,52,Preklady!A1)</f>
        <v>Výška radiátora by sa mala pohybovať v rozmedzí medzi výškou vypočítanou Hv a výškou doporučenou Hdop. Dĺžka radiátora by mala byť väčšia alebo nanajvýš rovná šírke okna Lw. V tabuľke doporučených telies sú vhodné dĺžky zvýraznené.</v>
      </c>
      <c r="I22" s="289"/>
      <c r="J22" s="289"/>
      <c r="K22" s="289"/>
      <c r="L22" s="289"/>
      <c r="M22" s="289"/>
      <c r="N22" s="289"/>
      <c r="O22" s="289"/>
      <c r="P22" s="290"/>
      <c r="Q22" s="100"/>
      <c r="R22" s="31"/>
      <c r="S22" s="31"/>
      <c r="T22" s="31"/>
    </row>
    <row r="23" spans="1:20" ht="12.75">
      <c r="A23" s="31"/>
      <c r="B23" s="31"/>
      <c r="C23" s="31"/>
      <c r="D23" s="31"/>
      <c r="E23" s="31"/>
      <c r="F23" s="31"/>
      <c r="G23" s="31"/>
      <c r="H23" s="291"/>
      <c r="I23" s="292"/>
      <c r="J23" s="292"/>
      <c r="K23" s="292"/>
      <c r="L23" s="292"/>
      <c r="M23" s="292"/>
      <c r="N23" s="292"/>
      <c r="O23" s="292"/>
      <c r="P23" s="293"/>
      <c r="Q23" s="31"/>
      <c r="R23" s="31"/>
      <c r="S23" s="31"/>
      <c r="T23" s="31"/>
    </row>
    <row r="24" spans="1:20" ht="12.75">
      <c r="A24" s="31"/>
      <c r="B24" s="31"/>
      <c r="C24" s="31"/>
      <c r="D24" s="31"/>
      <c r="E24" s="31"/>
      <c r="F24" s="31"/>
      <c r="G24" s="31"/>
      <c r="H24" s="291"/>
      <c r="I24" s="292"/>
      <c r="J24" s="292"/>
      <c r="K24" s="292"/>
      <c r="L24" s="292"/>
      <c r="M24" s="292"/>
      <c r="N24" s="292"/>
      <c r="O24" s="292"/>
      <c r="P24" s="293"/>
      <c r="Q24" s="31"/>
      <c r="R24" s="31"/>
      <c r="S24" s="31"/>
      <c r="T24" s="31"/>
    </row>
    <row r="25" spans="1:20" ht="13.5" thickBot="1">
      <c r="A25" s="31"/>
      <c r="B25" s="31"/>
      <c r="C25" s="31"/>
      <c r="D25" s="31"/>
      <c r="E25" s="31"/>
      <c r="F25" s="31"/>
      <c r="G25" s="31"/>
      <c r="H25" s="294"/>
      <c r="I25" s="295"/>
      <c r="J25" s="295"/>
      <c r="K25" s="295"/>
      <c r="L25" s="295"/>
      <c r="M25" s="295"/>
      <c r="N25" s="295"/>
      <c r="O25" s="295"/>
      <c r="P25" s="296"/>
      <c r="Q25" s="31"/>
      <c r="R25" s="31"/>
      <c r="S25" s="31"/>
      <c r="T25" s="31"/>
    </row>
    <row r="26" spans="1:20" ht="13.5" thickTop="1">
      <c r="A26" s="31"/>
      <c r="B26" s="31"/>
      <c r="C26" s="31"/>
      <c r="D26" s="31"/>
      <c r="E26" s="31"/>
      <c r="F26" s="31"/>
      <c r="G26" s="31"/>
      <c r="H26" s="31"/>
      <c r="I26" s="31"/>
      <c r="J26" s="31"/>
      <c r="K26" s="31"/>
      <c r="L26" s="31"/>
      <c r="M26" s="31"/>
      <c r="N26" s="31"/>
      <c r="O26" s="31"/>
      <c r="P26" s="31"/>
      <c r="Q26" s="31"/>
      <c r="R26" s="31"/>
      <c r="S26" s="31"/>
      <c r="T26" s="31"/>
    </row>
    <row r="27" spans="1:20" ht="12.75">
      <c r="A27" s="31"/>
      <c r="B27" s="31"/>
      <c r="C27" s="31"/>
      <c r="D27" s="31"/>
      <c r="E27" s="31"/>
      <c r="F27" s="31"/>
      <c r="G27" s="31"/>
      <c r="H27" s="31"/>
      <c r="I27" s="31"/>
      <c r="J27" s="31"/>
      <c r="K27" s="31"/>
      <c r="L27" s="31"/>
      <c r="M27" s="31"/>
      <c r="N27" s="31"/>
      <c r="O27" s="31"/>
      <c r="P27" s="31"/>
      <c r="Q27" s="31"/>
      <c r="R27" s="31"/>
      <c r="S27" s="31"/>
      <c r="T27" s="31"/>
    </row>
    <row r="28" spans="1:20" ht="12.75">
      <c r="A28" s="31"/>
      <c r="B28" s="31"/>
      <c r="C28" s="31"/>
      <c r="D28" s="31"/>
      <c r="E28" s="31"/>
      <c r="F28" s="31"/>
      <c r="G28" s="31"/>
      <c r="H28" s="31"/>
      <c r="I28" s="31"/>
      <c r="J28" s="31"/>
      <c r="K28" s="31"/>
      <c r="L28" s="31"/>
      <c r="M28" s="31"/>
      <c r="N28" s="31"/>
      <c r="O28" s="31"/>
      <c r="P28" s="31"/>
      <c r="Q28" s="31"/>
      <c r="R28" s="31"/>
      <c r="S28" s="31"/>
      <c r="T28" s="31"/>
    </row>
  </sheetData>
  <sheetProtection password="C889" sheet="1" selectLockedCells="1" selectUnlockedCells="1"/>
  <mergeCells count="20">
    <mergeCell ref="G2:J2"/>
    <mergeCell ref="G15:J15"/>
    <mergeCell ref="L3:M3"/>
    <mergeCell ref="L4:N4"/>
    <mergeCell ref="L2:P2"/>
    <mergeCell ref="L8:P8"/>
    <mergeCell ref="L5:N5"/>
    <mergeCell ref="L6:N6"/>
    <mergeCell ref="G8:J8"/>
    <mergeCell ref="L9:N9"/>
    <mergeCell ref="O12:P12"/>
    <mergeCell ref="H22:P25"/>
    <mergeCell ref="O17:P17"/>
    <mergeCell ref="O13:P13"/>
    <mergeCell ref="O14:P14"/>
    <mergeCell ref="O15:P15"/>
    <mergeCell ref="O20:P20"/>
    <mergeCell ref="O19:P19"/>
    <mergeCell ref="O18:P18"/>
    <mergeCell ref="O16:P16"/>
  </mergeCells>
  <conditionalFormatting sqref="N14 N16:N20">
    <cfRule type="expression" priority="1" dxfId="1" stopIfTrue="1">
      <formula>Q14=TRUE</formula>
    </cfRule>
  </conditionalFormatting>
  <conditionalFormatting sqref="O14 O16:O20">
    <cfRule type="expression" priority="2" dxfId="1" stopIfTrue="1">
      <formula>Q14=TRUE</formula>
    </cfRule>
  </conditionalFormatting>
  <conditionalFormatting sqref="M15">
    <cfRule type="expression" priority="3" dxfId="1" stopIfTrue="1">
      <formula>$Q$15=TRUE</formula>
    </cfRule>
    <cfRule type="expression" priority="4" dxfId="1" stopIfTrue="1">
      <formula>U15=TRUE</formula>
    </cfRule>
    <cfRule type="cellIs" priority="5" dxfId="24" operator="greaterThanOrEqual" stopIfTrue="1">
      <formula>$I$4-200</formula>
    </cfRule>
  </conditionalFormatting>
  <conditionalFormatting sqref="N15">
    <cfRule type="expression" priority="6" dxfId="1" stopIfTrue="1">
      <formula>$Q$15=TRUE</formula>
    </cfRule>
    <cfRule type="expression" priority="7" dxfId="1" stopIfTrue="1">
      <formula>U15=TRUE</formula>
    </cfRule>
    <cfRule type="cellIs" priority="8" dxfId="24" operator="greaterThanOrEqual" stopIfTrue="1">
      <formula>$I$4-200</formula>
    </cfRule>
  </conditionalFormatting>
  <conditionalFormatting sqref="O15">
    <cfRule type="expression" priority="9" dxfId="1" stopIfTrue="1">
      <formula>$Q$15=TRUE</formula>
    </cfRule>
    <cfRule type="expression" priority="10" dxfId="1" stopIfTrue="1">
      <formula>U15=TRUE</formula>
    </cfRule>
    <cfRule type="cellIs" priority="11" dxfId="24" operator="greaterThanOrEqual" stopIfTrue="1">
      <formula>$I$4-200</formula>
    </cfRule>
  </conditionalFormatting>
  <conditionalFormatting sqref="R17">
    <cfRule type="expression" priority="12" dxfId="1" stopIfTrue="1">
      <formula>$Q$17=TRUE</formula>
    </cfRule>
    <cfRule type="cellIs" priority="13" dxfId="24" operator="greaterThanOrEqual" stopIfTrue="1">
      <formula>$I$4-200</formula>
    </cfRule>
  </conditionalFormatting>
  <conditionalFormatting sqref="R18">
    <cfRule type="expression" priority="14" dxfId="1" stopIfTrue="1">
      <formula>$Q$18=TRUE</formula>
    </cfRule>
    <cfRule type="cellIs" priority="15" dxfId="24" operator="greaterThanOrEqual" stopIfTrue="1">
      <formula>$I$4-200</formula>
    </cfRule>
  </conditionalFormatting>
  <conditionalFormatting sqref="R19">
    <cfRule type="expression" priority="16" dxfId="1" stopIfTrue="1">
      <formula>$Q$19=TRUE</formula>
    </cfRule>
    <cfRule type="cellIs" priority="17" dxfId="24" operator="greaterThanOrEqual" stopIfTrue="1">
      <formula>$I$4-200</formula>
    </cfRule>
  </conditionalFormatting>
  <conditionalFormatting sqref="R20">
    <cfRule type="expression" priority="18" dxfId="1" stopIfTrue="1">
      <formula>$Q$20=TRUE</formula>
    </cfRule>
    <cfRule type="cellIs" priority="19" dxfId="24" operator="greaterThanOrEqual" stopIfTrue="1">
      <formula>$I$4-200</formula>
    </cfRule>
  </conditionalFormatting>
  <conditionalFormatting sqref="R16">
    <cfRule type="expression" priority="20" dxfId="1" stopIfTrue="1">
      <formula>$Q$15=TRUE</formula>
    </cfRule>
    <cfRule type="cellIs" priority="21" dxfId="24" operator="greaterThanOrEqual" stopIfTrue="1">
      <formula>$I$4-200</formula>
    </cfRule>
  </conditionalFormatting>
  <conditionalFormatting sqref="M14">
    <cfRule type="expression" priority="23" dxfId="1" stopIfTrue="1">
      <formula>$Q$14=TRUE</formula>
    </cfRule>
    <cfRule type="cellIs" priority="24" dxfId="24" operator="greaterThanOrEqual" stopIfTrue="1">
      <formula>$I$4-200</formula>
    </cfRule>
  </conditionalFormatting>
  <conditionalFormatting sqref="M16">
    <cfRule type="expression" priority="25" dxfId="1" stopIfTrue="1">
      <formula>$Q$16=TRUE</formula>
    </cfRule>
    <cfRule type="cellIs" priority="26" dxfId="24" operator="greaterThanOrEqual" stopIfTrue="1">
      <formula>$I$4-200</formula>
    </cfRule>
  </conditionalFormatting>
  <conditionalFormatting sqref="M17">
    <cfRule type="expression" priority="27" dxfId="1" stopIfTrue="1">
      <formula>$Q$17=TRUE</formula>
    </cfRule>
    <cfRule type="cellIs" priority="28" dxfId="24" operator="greaterThanOrEqual" stopIfTrue="1">
      <formula>$I$4-200</formula>
    </cfRule>
  </conditionalFormatting>
  <conditionalFormatting sqref="M18">
    <cfRule type="expression" priority="29" dxfId="1" stopIfTrue="1">
      <formula>$Q$18=TRUE</formula>
    </cfRule>
    <cfRule type="cellIs" priority="30" dxfId="24" operator="greaterThanOrEqual" stopIfTrue="1">
      <formula>$I$4-200</formula>
    </cfRule>
  </conditionalFormatting>
  <conditionalFormatting sqref="M19">
    <cfRule type="expression" priority="31" dxfId="1" stopIfTrue="1">
      <formula>$Q$19=TRUE</formula>
    </cfRule>
    <cfRule type="cellIs" priority="32" dxfId="24" operator="greaterThanOrEqual" stopIfTrue="1">
      <formula>$I$4-200</formula>
    </cfRule>
  </conditionalFormatting>
  <conditionalFormatting sqref="M20">
    <cfRule type="expression" priority="33" dxfId="1" stopIfTrue="1">
      <formula>$Q$20=TRUE</formula>
    </cfRule>
    <cfRule type="cellIs" priority="34" dxfId="24" operator="greaterThanOrEqual" stopIfTrue="1">
      <formula>$I$4-200</formula>
    </cfRule>
  </conditionalFormatting>
  <conditionalFormatting sqref="R13">
    <cfRule type="cellIs" priority="35" dxfId="24" operator="greaterThanOrEqual" stopIfTrue="1">
      <formula>$I$4-200</formula>
    </cfRule>
  </conditionalFormatting>
  <conditionalFormatting sqref="N13">
    <cfRule type="expression" priority="36" dxfId="1" stopIfTrue="1">
      <formula>$Q$13=TRUE</formula>
    </cfRule>
    <cfRule type="expression" priority="37" dxfId="1" stopIfTrue="1">
      <formula>$U$13=TRUE</formula>
    </cfRule>
  </conditionalFormatting>
  <conditionalFormatting sqref="M13 O13">
    <cfRule type="expression" priority="38" dxfId="1" stopIfTrue="1">
      <formula>$Q$13=TRUE</formula>
    </cfRule>
    <cfRule type="expression" priority="39" dxfId="1" stopIfTrue="1">
      <formula>$U$13=TRUE</formula>
    </cfRule>
    <cfRule type="cellIs" priority="40" dxfId="24" operator="greaterThanOrEqual" stopIfTrue="1">
      <formula>$I$4-200</formula>
    </cfRule>
  </conditionalFormatting>
  <printOptions/>
  <pageMargins left="0.43" right="0.37" top="1" bottom="1" header="0.4921259845" footer="0.4921259845"/>
  <pageSetup horizontalDpi="600" verticalDpi="600" orientation="landscape" paperSize="9" r:id="rId3"/>
  <ignoredErrors>
    <ignoredError sqref="I10" unlocked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s6"/>
  <dimension ref="A1:Y36"/>
  <sheetViews>
    <sheetView showGridLines="0" showRowColHeaders="0" showOutlineSymbols="0" zoomScale="125" zoomScaleNormal="125" zoomScalePageLayoutView="0" workbookViewId="0" topLeftCell="A1">
      <selection activeCell="Y18" sqref="Y18"/>
    </sheetView>
  </sheetViews>
  <sheetFormatPr defaultColWidth="9.140625" defaultRowHeight="12.75"/>
  <cols>
    <col min="1" max="1" width="3.421875" style="0" customWidth="1"/>
    <col min="2" max="2" width="5.8515625" style="0" customWidth="1"/>
    <col min="3" max="3" width="8.00390625" style="0" customWidth="1"/>
    <col min="4" max="4" width="20.7109375" style="0" customWidth="1"/>
    <col min="5" max="5" width="4.8515625" style="0" customWidth="1"/>
    <col min="7" max="7" width="7.28125" style="0" customWidth="1"/>
    <col min="8" max="9" width="2.7109375" style="0" customWidth="1"/>
    <col min="10" max="10" width="5.57421875" style="0" customWidth="1"/>
    <col min="11" max="11" width="3.8515625" style="0" customWidth="1"/>
    <col min="12" max="12" width="10.57421875" style="0" customWidth="1"/>
    <col min="13" max="13" width="3.8515625" style="0" customWidth="1"/>
    <col min="15" max="15" width="3.57421875" style="0" customWidth="1"/>
    <col min="16" max="16" width="3.140625" style="0" customWidth="1"/>
    <col min="17" max="17" width="3.8515625" style="0" customWidth="1"/>
  </cols>
  <sheetData>
    <row r="1" spans="1:22" ht="11.25" customHeight="1" thickBot="1">
      <c r="A1" s="31"/>
      <c r="B1" s="129"/>
      <c r="C1" s="129"/>
      <c r="D1" s="129"/>
      <c r="E1" s="129"/>
      <c r="F1" s="129"/>
      <c r="G1" s="129"/>
      <c r="H1" s="129"/>
      <c r="I1" s="129"/>
      <c r="J1" s="129"/>
      <c r="K1" s="129"/>
      <c r="L1" s="129"/>
      <c r="M1" s="129"/>
      <c r="N1" s="129"/>
      <c r="O1" s="129"/>
      <c r="P1" s="129"/>
      <c r="Q1" s="31"/>
      <c r="R1" s="31"/>
      <c r="S1" s="31"/>
      <c r="T1" s="31"/>
      <c r="U1" s="31"/>
      <c r="V1" s="31"/>
    </row>
    <row r="2" spans="1:22" ht="17.25" customHeight="1" thickBot="1">
      <c r="A2" s="31"/>
      <c r="B2" s="185" t="str">
        <f>INDEX(Preklady!B3:D92,54,Preklady!A1)</f>
        <v>Starý radiátor</v>
      </c>
      <c r="C2" s="186"/>
      <c r="D2" s="186"/>
      <c r="E2" s="186"/>
      <c r="F2" s="186"/>
      <c r="G2" s="186"/>
      <c r="H2" s="186"/>
      <c r="I2" s="186"/>
      <c r="J2" s="186"/>
      <c r="K2" s="186"/>
      <c r="L2" s="186"/>
      <c r="M2" s="186"/>
      <c r="N2" s="186"/>
      <c r="O2" s="186"/>
      <c r="P2" s="186"/>
      <c r="Q2" s="132"/>
      <c r="R2" s="132"/>
      <c r="S2" s="132"/>
      <c r="T2" s="132"/>
      <c r="U2" s="31"/>
      <c r="V2" s="31"/>
    </row>
    <row r="3" spans="1:22" ht="18.75" customHeight="1">
      <c r="A3" s="31"/>
      <c r="B3" s="31"/>
      <c r="C3" s="31"/>
      <c r="D3" s="31"/>
      <c r="E3" s="309" t="str">
        <f>INDEX(Preklady!B3:D92,59,Preklady!A1)</f>
        <v>Rozmery článku [mm]</v>
      </c>
      <c r="F3" s="309"/>
      <c r="G3" s="309"/>
      <c r="H3" s="31"/>
      <c r="I3" s="310" t="str">
        <f>INDEX(Preklady!B3:D92,60,Preklady!A1)</f>
        <v>Počet článkov</v>
      </c>
      <c r="J3" s="310"/>
      <c r="K3" s="310"/>
      <c r="L3" s="305" t="str">
        <f>INDEX(Preklady!B3:D92,61,Preklady!A1)</f>
        <v>Odpovedajúci výkon</v>
      </c>
      <c r="M3" s="305"/>
      <c r="N3" s="305"/>
      <c r="O3" s="305"/>
      <c r="P3" s="31"/>
      <c r="Q3" s="31"/>
      <c r="R3" s="31"/>
      <c r="S3" s="31"/>
      <c r="T3" s="31"/>
      <c r="U3" s="31"/>
      <c r="V3" s="31"/>
    </row>
    <row r="4" spans="1:22" ht="13.5" customHeight="1">
      <c r="A4" s="31"/>
      <c r="B4" s="189"/>
      <c r="C4" s="189"/>
      <c r="D4" s="189"/>
      <c r="E4" s="312" t="str">
        <f>INDEX(Preklady!B3:D92,62,Preklady!A1)</f>
        <v>Výška x hĺbka</v>
      </c>
      <c r="F4" s="312"/>
      <c r="G4" s="189"/>
      <c r="H4" s="189"/>
      <c r="I4" s="189"/>
      <c r="J4" s="189"/>
      <c r="K4" s="189"/>
      <c r="L4" s="189"/>
      <c r="M4" s="225"/>
      <c r="N4" s="226" t="s">
        <v>56</v>
      </c>
      <c r="O4" s="189"/>
      <c r="P4" s="189"/>
      <c r="Q4" s="31"/>
      <c r="R4" s="31"/>
      <c r="S4" s="31"/>
      <c r="T4" s="31"/>
      <c r="U4" s="31"/>
      <c r="V4" s="31"/>
    </row>
    <row r="5" spans="1:22" ht="12.75">
      <c r="A5" s="31"/>
      <c r="B5" s="189"/>
      <c r="C5" s="189" t="str">
        <f>INDEX(Preklady!B3:D92,55,Preklady!A1)</f>
        <v>Liatinové článkové radiátory</v>
      </c>
      <c r="D5" s="189"/>
      <c r="E5" s="189"/>
      <c r="F5" s="189"/>
      <c r="G5" s="189"/>
      <c r="H5" s="189"/>
      <c r="I5" s="189"/>
      <c r="J5" s="227">
        <v>10</v>
      </c>
      <c r="K5" s="189"/>
      <c r="L5" s="189"/>
      <c r="M5" s="189"/>
      <c r="N5" s="223">
        <f>J5*INDEX(starý!B3:C20,starý!B21,2)</f>
        <v>1180</v>
      </c>
      <c r="O5" s="189"/>
      <c r="P5" s="189"/>
      <c r="Q5" s="31"/>
      <c r="R5" s="31"/>
      <c r="S5" s="31"/>
      <c r="T5" s="31"/>
      <c r="U5" s="31"/>
      <c r="V5" s="31"/>
    </row>
    <row r="6" spans="1:22" ht="12.75">
      <c r="A6" s="31"/>
      <c r="B6" s="189"/>
      <c r="C6" s="189"/>
      <c r="D6" s="189"/>
      <c r="E6" s="189"/>
      <c r="F6" s="189"/>
      <c r="G6" s="189"/>
      <c r="H6" s="189"/>
      <c r="I6" s="189"/>
      <c r="J6" s="189"/>
      <c r="K6" s="189"/>
      <c r="L6" s="189"/>
      <c r="M6" s="189"/>
      <c r="N6" s="189"/>
      <c r="O6" s="189"/>
      <c r="P6" s="189"/>
      <c r="Q6" s="31"/>
      <c r="R6" s="31"/>
      <c r="S6" s="31"/>
      <c r="T6" s="31"/>
      <c r="U6" s="31"/>
      <c r="V6" s="31"/>
    </row>
    <row r="7" spans="1:22" ht="12.75">
      <c r="A7" s="31"/>
      <c r="B7" s="31"/>
      <c r="C7" s="31"/>
      <c r="D7" s="31"/>
      <c r="E7" s="313" t="str">
        <f>INDEX(Preklady!B3:D92,62,Preklady!A1)</f>
        <v>Výška x hĺbka</v>
      </c>
      <c r="F7" s="313"/>
      <c r="G7" s="31"/>
      <c r="H7" s="31"/>
      <c r="I7" s="31"/>
      <c r="J7" s="31"/>
      <c r="K7" s="31"/>
      <c r="L7" s="31"/>
      <c r="M7" s="31"/>
      <c r="N7" s="31"/>
      <c r="O7" s="31"/>
      <c r="P7" s="31"/>
      <c r="Q7" s="31"/>
      <c r="R7" s="31"/>
      <c r="S7" s="31"/>
      <c r="T7" s="31"/>
      <c r="U7" s="31"/>
      <c r="V7" s="31"/>
    </row>
    <row r="8" spans="1:22" ht="12.75">
      <c r="A8" s="31"/>
      <c r="B8" s="31"/>
      <c r="C8" s="31" t="str">
        <f>INDEX(Preklady!B3:D92,56,Preklady!A1)</f>
        <v>Oceľové článkové radiátory</v>
      </c>
      <c r="D8" s="31"/>
      <c r="E8" s="31"/>
      <c r="F8" s="31"/>
      <c r="G8" s="31"/>
      <c r="H8" s="31"/>
      <c r="I8" s="31"/>
      <c r="J8" s="41">
        <v>10</v>
      </c>
      <c r="K8" s="31"/>
      <c r="L8" s="31"/>
      <c r="M8" s="31"/>
      <c r="N8" s="39">
        <f>J8*INDEX(starý!E3:F8,starý!E10,2)</f>
        <v>710</v>
      </c>
      <c r="O8" s="31"/>
      <c r="P8" s="31"/>
      <c r="Q8" s="31"/>
      <c r="R8" s="31"/>
      <c r="S8" s="31"/>
      <c r="T8" s="31"/>
      <c r="U8" s="31"/>
      <c r="V8" s="31"/>
    </row>
    <row r="9" spans="1:22" ht="17.25" customHeight="1">
      <c r="A9" s="31"/>
      <c r="B9" s="31"/>
      <c r="C9" s="31"/>
      <c r="D9" s="31"/>
      <c r="E9" s="31"/>
      <c r="F9" s="31"/>
      <c r="G9" s="31"/>
      <c r="H9" s="31"/>
      <c r="I9" s="31"/>
      <c r="J9" s="36"/>
      <c r="K9" s="31"/>
      <c r="L9" s="31"/>
      <c r="M9" s="31"/>
      <c r="N9" s="31"/>
      <c r="O9" s="31"/>
      <c r="P9" s="31"/>
      <c r="Q9" s="31"/>
      <c r="R9" s="31"/>
      <c r="S9" s="31"/>
      <c r="T9" s="31"/>
      <c r="U9" s="31"/>
      <c r="V9" s="31"/>
    </row>
    <row r="10" spans="1:22" ht="12.75">
      <c r="A10" s="31"/>
      <c r="B10" s="189"/>
      <c r="C10" s="189"/>
      <c r="D10" s="189"/>
      <c r="E10" s="189"/>
      <c r="F10" s="189"/>
      <c r="G10" s="189"/>
      <c r="H10" s="189"/>
      <c r="I10" s="189"/>
      <c r="J10" s="189"/>
      <c r="K10" s="189"/>
      <c r="L10" s="228" t="str">
        <f>INDEX(Preklady!B3:D92,64,Preklady!A1)</f>
        <v>Dĺžka (mm)</v>
      </c>
      <c r="M10" s="228"/>
      <c r="N10" s="189"/>
      <c r="O10" s="189"/>
      <c r="P10" s="189"/>
      <c r="Q10" s="31"/>
      <c r="R10" s="31"/>
      <c r="S10" s="31"/>
      <c r="T10" s="31"/>
      <c r="U10" s="31"/>
      <c r="V10" s="31"/>
    </row>
    <row r="11" spans="1:22" ht="12.75">
      <c r="A11" s="31"/>
      <c r="B11" s="189"/>
      <c r="C11" s="189" t="str">
        <f>INDEX(Preklady!B3:D92,57,Preklady!A1)</f>
        <v>Panelové radiátory (krok 40mm)</v>
      </c>
      <c r="D11" s="189"/>
      <c r="E11" s="189"/>
      <c r="F11" s="189"/>
      <c r="G11" s="189"/>
      <c r="H11" s="189"/>
      <c r="I11" s="189"/>
      <c r="J11" s="189"/>
      <c r="K11" s="189"/>
      <c r="L11" s="189"/>
      <c r="M11" s="189"/>
      <c r="N11" s="229">
        <f>INDEX(starý!I3:J7,starý!J9,2)*INDEX(starý!I12:I24,starý!J25,1)/1000</f>
        <v>1342.44</v>
      </c>
      <c r="O11" s="189"/>
      <c r="P11" s="189"/>
      <c r="Q11" s="31"/>
      <c r="R11" s="31"/>
      <c r="S11" s="31"/>
      <c r="T11" s="31"/>
      <c r="U11" s="31"/>
      <c r="V11" s="31"/>
    </row>
    <row r="12" spans="1:22" ht="12.75">
      <c r="A12" s="31"/>
      <c r="B12" s="189"/>
      <c r="C12" s="189"/>
      <c r="D12" s="189"/>
      <c r="E12" s="189"/>
      <c r="F12" s="189"/>
      <c r="G12" s="189"/>
      <c r="H12" s="189"/>
      <c r="I12" s="189"/>
      <c r="J12" s="189"/>
      <c r="K12" s="189"/>
      <c r="L12" s="189"/>
      <c r="M12" s="189"/>
      <c r="N12" s="189"/>
      <c r="O12" s="189"/>
      <c r="P12" s="189"/>
      <c r="Q12" s="31"/>
      <c r="R12" s="31"/>
      <c r="S12" s="31"/>
      <c r="T12" s="31"/>
      <c r="U12" s="31"/>
      <c r="V12" s="31"/>
    </row>
    <row r="13" spans="1:22" ht="12.75">
      <c r="A13" s="31"/>
      <c r="B13" s="31"/>
      <c r="C13" s="31"/>
      <c r="D13" s="31"/>
      <c r="E13" s="31"/>
      <c r="F13" s="31"/>
      <c r="G13" s="31"/>
      <c r="H13" s="306" t="str">
        <f>INDEX(Preklady!B3:D92,63,Preklady!A1)</f>
        <v>Výška (mm)</v>
      </c>
      <c r="I13" s="306"/>
      <c r="J13" s="306"/>
      <c r="K13" s="31"/>
      <c r="L13" s="130" t="str">
        <f>INDEX(Preklady!B3:D92,64,Preklady!A1)</f>
        <v>Dĺžka (mm)</v>
      </c>
      <c r="M13" s="31"/>
      <c r="N13" s="31"/>
      <c r="O13" s="31"/>
      <c r="P13" s="31"/>
      <c r="Q13" s="31"/>
      <c r="R13" s="31"/>
      <c r="S13" s="31"/>
      <c r="T13" s="31"/>
      <c r="U13" s="31"/>
      <c r="V13" s="31"/>
    </row>
    <row r="14" spans="1:22" ht="12.75">
      <c r="A14" s="31"/>
      <c r="B14" s="31"/>
      <c r="C14" s="31" t="str">
        <f>INDEX(Preklady!B3:D92,58,Preklady!A1)</f>
        <v>Doskové telesá N6</v>
      </c>
      <c r="D14" s="31"/>
      <c r="E14" s="31"/>
      <c r="F14" s="31"/>
      <c r="G14" s="31"/>
      <c r="H14" s="31"/>
      <c r="I14" s="31"/>
      <c r="J14" s="31"/>
      <c r="K14" s="31"/>
      <c r="L14" s="31"/>
      <c r="M14" s="31"/>
      <c r="N14" s="49">
        <f>INDEX(starý!M9:O13,starý!L14,starý!M7)*INDEX(starý!S1:S46,starý!R3,1)/1000</f>
        <v>1062.72</v>
      </c>
      <c r="O14" s="31"/>
      <c r="P14" s="31"/>
      <c r="Q14" s="31"/>
      <c r="R14" s="31"/>
      <c r="S14" s="31"/>
      <c r="T14" s="31"/>
      <c r="U14" s="31"/>
      <c r="V14" s="31"/>
    </row>
    <row r="15" spans="1:22" ht="12.75">
      <c r="A15" s="31"/>
      <c r="B15" s="61"/>
      <c r="C15" s="61"/>
      <c r="D15" s="61"/>
      <c r="E15" s="61"/>
      <c r="F15" s="61"/>
      <c r="G15" s="61"/>
      <c r="H15" s="61"/>
      <c r="I15" s="61"/>
      <c r="J15" s="61"/>
      <c r="K15" s="61"/>
      <c r="L15" s="61"/>
      <c r="M15" s="61"/>
      <c r="N15" s="61"/>
      <c r="O15" s="61"/>
      <c r="P15" s="61"/>
      <c r="Q15" s="31"/>
      <c r="R15" s="31"/>
      <c r="S15" s="31"/>
      <c r="T15" s="31"/>
      <c r="U15" s="31"/>
      <c r="V15" s="31"/>
    </row>
    <row r="16" spans="1:22" ht="12.75" customHeight="1" thickBot="1">
      <c r="A16" s="31"/>
      <c r="B16" s="31"/>
      <c r="C16" s="31"/>
      <c r="D16" s="31"/>
      <c r="E16" s="31"/>
      <c r="F16" s="31"/>
      <c r="G16" s="161"/>
      <c r="H16" s="161"/>
      <c r="I16" s="161"/>
      <c r="J16" s="161"/>
      <c r="K16" s="161"/>
      <c r="L16" s="161"/>
      <c r="M16" s="161"/>
      <c r="N16" s="161"/>
      <c r="O16" s="161"/>
      <c r="P16" s="162"/>
      <c r="Q16" s="31"/>
      <c r="R16" s="31"/>
      <c r="S16" s="31"/>
      <c r="T16" s="31"/>
      <c r="U16" s="31"/>
      <c r="V16" s="31"/>
    </row>
    <row r="17" spans="1:22" ht="17.25" customHeight="1" thickBot="1">
      <c r="A17" s="31"/>
      <c r="B17" s="132"/>
      <c r="C17" s="132"/>
      <c r="D17" s="132"/>
      <c r="E17" s="132"/>
      <c r="F17" s="132"/>
      <c r="G17" s="73" t="str">
        <f>INDEX(Preklady!B3:D92,65,Preklady!A1)</f>
        <v>Nový radiátor</v>
      </c>
      <c r="H17" s="40"/>
      <c r="I17" s="40"/>
      <c r="J17" s="40"/>
      <c r="K17" s="40"/>
      <c r="L17" s="40"/>
      <c r="M17" s="40"/>
      <c r="N17" s="40"/>
      <c r="O17" s="40"/>
      <c r="P17" s="160"/>
      <c r="Q17" s="31"/>
      <c r="R17" s="31"/>
      <c r="S17" s="31"/>
      <c r="T17" s="31"/>
      <c r="U17" s="31"/>
      <c r="V17" s="31"/>
    </row>
    <row r="18" spans="1:22" ht="17.25" customHeight="1">
      <c r="A18" s="31"/>
      <c r="B18" s="31"/>
      <c r="C18" s="31"/>
      <c r="D18" s="31"/>
      <c r="E18" s="31"/>
      <c r="F18" s="31"/>
      <c r="G18" s="230"/>
      <c r="H18" s="230"/>
      <c r="I18" s="230"/>
      <c r="J18" s="230"/>
      <c r="K18" s="230"/>
      <c r="L18" s="230"/>
      <c r="M18" s="230"/>
      <c r="N18" s="230"/>
      <c r="O18" s="230"/>
      <c r="P18" s="231"/>
      <c r="Q18" s="31"/>
      <c r="R18" s="31"/>
      <c r="S18" s="31"/>
      <c r="T18" s="31"/>
      <c r="U18" s="31"/>
      <c r="V18" s="31"/>
    </row>
    <row r="19" spans="1:22" ht="15.75" customHeight="1">
      <c r="A19" s="31"/>
      <c r="B19" s="31"/>
      <c r="C19" s="31"/>
      <c r="D19" s="31"/>
      <c r="E19" s="31"/>
      <c r="F19" s="31"/>
      <c r="G19" s="231"/>
      <c r="H19" s="231"/>
      <c r="I19" s="231"/>
      <c r="J19" s="231"/>
      <c r="K19" s="232"/>
      <c r="L19" s="231"/>
      <c r="M19" s="231"/>
      <c r="N19" s="233" t="str">
        <f>INDEX(Preklady!B3:D92,50,Preklady!A1)</f>
        <v>Výkon</v>
      </c>
      <c r="O19" s="234"/>
      <c r="P19" s="234"/>
      <c r="Q19" s="31"/>
      <c r="R19" s="31"/>
      <c r="S19" s="31"/>
      <c r="T19" s="31"/>
      <c r="U19" s="31"/>
      <c r="V19" s="31"/>
    </row>
    <row r="20" spans="1:25" ht="12.75">
      <c r="A20" s="31"/>
      <c r="B20" s="31"/>
      <c r="C20" s="31"/>
      <c r="D20" s="31"/>
      <c r="E20" s="31"/>
      <c r="F20" s="31"/>
      <c r="G20" s="311" t="str">
        <f>INDEX(Preklady!B3:D92,63,Preklady!A1)</f>
        <v>Výška (mm)</v>
      </c>
      <c r="H20" s="311"/>
      <c r="I20" s="311"/>
      <c r="J20" s="233" t="str">
        <f>INDEX(Preklady!B3:D92,48,Preklady!A1)</f>
        <v>Typ</v>
      </c>
      <c r="K20" s="232"/>
      <c r="L20" s="233" t="str">
        <f>INDEX(Preklady!B3:D92,49,Preklady!A1)</f>
        <v>Dĺžka</v>
      </c>
      <c r="M20" s="234"/>
      <c r="N20" s="235" t="s">
        <v>57</v>
      </c>
      <c r="O20" s="236"/>
      <c r="P20" s="236"/>
      <c r="Q20" s="31"/>
      <c r="R20" s="31"/>
      <c r="S20" s="31"/>
      <c r="T20" s="31"/>
      <c r="U20" s="31"/>
      <c r="V20" s="104"/>
      <c r="W20" s="105"/>
      <c r="X20" s="105"/>
      <c r="Y20" s="105"/>
    </row>
    <row r="21" spans="1:25" ht="3" customHeight="1">
      <c r="A21" s="31"/>
      <c r="B21" s="131"/>
      <c r="C21" s="131"/>
      <c r="D21" s="131"/>
      <c r="E21" s="131"/>
      <c r="F21" s="131"/>
      <c r="G21" s="127"/>
      <c r="H21" s="127"/>
      <c r="I21" s="127"/>
      <c r="J21" s="127"/>
      <c r="K21" s="128"/>
      <c r="L21" s="127"/>
      <c r="M21" s="127"/>
      <c r="N21" s="127"/>
      <c r="O21" s="127"/>
      <c r="P21" s="127"/>
      <c r="Q21" s="104"/>
      <c r="R21" s="31"/>
      <c r="S21" s="31"/>
      <c r="T21" s="31"/>
      <c r="U21" s="31"/>
      <c r="V21" s="104"/>
      <c r="W21" s="105"/>
      <c r="X21" s="105"/>
      <c r="Y21" s="105"/>
    </row>
    <row r="22" spans="1:25" ht="15.75">
      <c r="A22" s="31"/>
      <c r="B22" s="131"/>
      <c r="C22" s="131"/>
      <c r="D22" s="131"/>
      <c r="E22" s="131"/>
      <c r="F22" s="131"/>
      <c r="G22" s="236"/>
      <c r="H22" s="236"/>
      <c r="I22" s="236"/>
      <c r="J22" s="91">
        <v>10</v>
      </c>
      <c r="K22" s="242" t="b">
        <f>AND(L22&gt;2000,$G$27=1)</f>
        <v>0</v>
      </c>
      <c r="L22" s="92">
        <f>IF(X22=TRUE,W22,V22)</f>
        <v>1800</v>
      </c>
      <c r="M22" s="242" t="b">
        <f aca="true" t="shared" si="0" ref="M22:M29">AND(L22&gt;2000,$G$26=TRUE)</f>
        <v>0</v>
      </c>
      <c r="N22" s="93">
        <f>INDEX(starý!$A$29:$J$44,starý!$B$36,3)*$V22/1000</f>
        <v>1049.4</v>
      </c>
      <c r="O22" s="237"/>
      <c r="P22" s="237"/>
      <c r="Q22" s="104"/>
      <c r="R22" s="31"/>
      <c r="S22" s="31"/>
      <c r="T22" s="31"/>
      <c r="U22" s="31"/>
      <c r="V22" s="94">
        <f>ROUND(starý!C$53,1)*1000</f>
        <v>1800</v>
      </c>
      <c r="W22" s="95">
        <f>EVEN(V22/100)*100</f>
        <v>1800</v>
      </c>
      <c r="X22" s="95" t="b">
        <f>AND($G$27=1,W22&gt;1000)</f>
        <v>1</v>
      </c>
      <c r="Y22" s="105"/>
    </row>
    <row r="23" spans="1:25" ht="15.75">
      <c r="A23" s="31"/>
      <c r="B23" s="131"/>
      <c r="C23" s="131"/>
      <c r="D23" s="131"/>
      <c r="E23" s="131"/>
      <c r="F23" s="131"/>
      <c r="G23" s="237"/>
      <c r="H23" s="237"/>
      <c r="I23" s="237"/>
      <c r="J23" s="91">
        <v>11</v>
      </c>
      <c r="K23" s="242" t="b">
        <f>AND(L23&gt;2000,$G$27=1)</f>
        <v>1</v>
      </c>
      <c r="L23" s="92">
        <f>IF(X23=TRUE,4000,V23)</f>
        <v>4000</v>
      </c>
      <c r="M23" s="242" t="b">
        <f t="shared" si="0"/>
        <v>0</v>
      </c>
      <c r="N23" s="93">
        <f>INDEX(starý!$A$29:$J$44,starý!$B$36,4)*$V23/1000</f>
        <v>2</v>
      </c>
      <c r="O23" s="237"/>
      <c r="P23" s="237"/>
      <c r="Q23" s="104"/>
      <c r="R23" s="31"/>
      <c r="S23" s="31"/>
      <c r="T23" s="31"/>
      <c r="U23" s="31"/>
      <c r="V23" s="94">
        <f>ROUND(starý!D$53,1)*1000</f>
        <v>2000</v>
      </c>
      <c r="W23" s="95">
        <f aca="true" t="shared" si="1" ref="W23:W29">EVEN(V23/100)*100</f>
        <v>2000</v>
      </c>
      <c r="X23" s="95" t="b">
        <f aca="true" t="shared" si="2" ref="X23:X29">AND($G$27=1,W23&gt;1000)</f>
        <v>1</v>
      </c>
      <c r="Y23" s="105"/>
    </row>
    <row r="24" spans="1:25" ht="15.75">
      <c r="A24" s="31"/>
      <c r="B24" s="131"/>
      <c r="C24" s="131"/>
      <c r="D24" s="131"/>
      <c r="E24" s="131"/>
      <c r="F24" s="131"/>
      <c r="G24" s="238" t="str">
        <f>INDEX(Preklady!B3:D92,47,Preklady!A1)</f>
        <v>Plan</v>
      </c>
      <c r="H24" s="237"/>
      <c r="I24" s="237"/>
      <c r="J24" s="91">
        <v>20</v>
      </c>
      <c r="K24" s="242" t="b">
        <f>AND(L24&gt;2000,$G$27=1)</f>
        <v>0</v>
      </c>
      <c r="L24" s="92">
        <f aca="true" t="shared" si="3" ref="L24:L29">IF(X24=TRUE,W24,V24)</f>
        <v>1200</v>
      </c>
      <c r="M24" s="242" t="b">
        <f t="shared" si="0"/>
        <v>0</v>
      </c>
      <c r="N24" s="93">
        <f>INDEX(starý!$A$29:$J$44,starý!$B$36,5)*$V24/1000</f>
        <v>1084.8</v>
      </c>
      <c r="O24" s="237"/>
      <c r="P24" s="237"/>
      <c r="Q24" s="104"/>
      <c r="R24" s="31"/>
      <c r="S24" s="31"/>
      <c r="T24" s="31"/>
      <c r="U24" s="31"/>
      <c r="V24" s="94">
        <f>ROUND(starý!E$53,1)*1000</f>
        <v>1200</v>
      </c>
      <c r="W24" s="95">
        <f t="shared" si="1"/>
        <v>1200</v>
      </c>
      <c r="X24" s="95" t="b">
        <f t="shared" si="2"/>
        <v>1</v>
      </c>
      <c r="Y24" s="105"/>
    </row>
    <row r="25" spans="1:25" ht="15.75">
      <c r="A25" s="31"/>
      <c r="B25" s="131"/>
      <c r="C25" s="131"/>
      <c r="D25" s="131"/>
      <c r="E25" s="131"/>
      <c r="F25" s="131"/>
      <c r="G25" s="239"/>
      <c r="H25" s="237"/>
      <c r="I25" s="237"/>
      <c r="J25" s="91" t="s">
        <v>159</v>
      </c>
      <c r="K25" s="242" t="b">
        <f>AND(L25&gt;2000,$G$27=1)</f>
        <v>0</v>
      </c>
      <c r="L25" s="92">
        <f t="shared" si="3"/>
        <v>1200</v>
      </c>
      <c r="M25" s="242" t="b">
        <f t="shared" si="0"/>
        <v>0</v>
      </c>
      <c r="N25" s="93">
        <f>INDEX(starý!$A$29:$J$44,starý!$B$36,6)*$V25/1000</f>
        <v>1094.5</v>
      </c>
      <c r="O25" s="237"/>
      <c r="P25" s="237"/>
      <c r="Q25" s="104"/>
      <c r="R25" s="31"/>
      <c r="S25" s="31"/>
      <c r="T25" s="31"/>
      <c r="U25" s="31"/>
      <c r="V25" s="94">
        <f>ROUND(starý!F$53,1)*1000</f>
        <v>1100</v>
      </c>
      <c r="W25" s="95">
        <f t="shared" si="1"/>
        <v>1200</v>
      </c>
      <c r="X25" s="95" t="b">
        <f t="shared" si="2"/>
        <v>1</v>
      </c>
      <c r="Y25" s="105"/>
    </row>
    <row r="26" spans="1:25" ht="15.75">
      <c r="A26" s="31"/>
      <c r="B26" s="131"/>
      <c r="C26" s="131"/>
      <c r="D26" s="131"/>
      <c r="E26" s="131"/>
      <c r="F26" s="131"/>
      <c r="G26" s="240" t="b">
        <f>starý!B46</f>
        <v>0</v>
      </c>
      <c r="H26" s="237"/>
      <c r="I26" s="237"/>
      <c r="J26" s="91">
        <v>21</v>
      </c>
      <c r="K26" s="242" t="b">
        <f>AND(L26&gt;3000,$G$27=1)</f>
        <v>0</v>
      </c>
      <c r="L26" s="92">
        <f t="shared" si="3"/>
        <v>900</v>
      </c>
      <c r="M26" s="242" t="b">
        <f t="shared" si="0"/>
        <v>0</v>
      </c>
      <c r="N26" s="93">
        <f>INDEX(starý!$A$29:$J$44,starý!$B$36,7)*$V26/1000</f>
        <v>1087.2</v>
      </c>
      <c r="O26" s="237"/>
      <c r="P26" s="237"/>
      <c r="Q26" s="104"/>
      <c r="R26" s="31"/>
      <c r="S26" s="31"/>
      <c r="T26" s="31"/>
      <c r="U26" s="31"/>
      <c r="V26" s="94">
        <f>ROUND(starý!G$53,1)*1000</f>
        <v>900</v>
      </c>
      <c r="W26" s="95">
        <f t="shared" si="1"/>
        <v>1000</v>
      </c>
      <c r="X26" s="95" t="b">
        <f t="shared" si="2"/>
        <v>0</v>
      </c>
      <c r="Y26" s="105"/>
    </row>
    <row r="27" spans="1:25" ht="15.75">
      <c r="A27" s="31"/>
      <c r="B27" s="307" t="str">
        <f>INDEX(Preklady!B3:D92,66,Preklady!A1)</f>
        <v>*Výška článkov je napájacím rozmerom. Skutočná výška článkov je o 80mm vyššia.                                                                          **Hodnoty tepelných výkonov starých radiátorov sú orientačné. </v>
      </c>
      <c r="C27" s="308"/>
      <c r="D27" s="308"/>
      <c r="E27" s="308"/>
      <c r="F27" s="308"/>
      <c r="G27" s="240">
        <f>IF(starý!B35=4,1,0)</f>
        <v>1</v>
      </c>
      <c r="H27" s="237"/>
      <c r="I27" s="237"/>
      <c r="J27" s="91">
        <v>22</v>
      </c>
      <c r="K27" s="242" t="b">
        <f>AND(L27&gt;3000,$G$27=1)</f>
        <v>0</v>
      </c>
      <c r="L27" s="92">
        <f t="shared" si="3"/>
        <v>700</v>
      </c>
      <c r="M27" s="242" t="b">
        <f t="shared" si="0"/>
        <v>0</v>
      </c>
      <c r="N27" s="93">
        <f>INDEX(starý!$A$29:$J$44,starý!$B$36,8)*$V27/1000</f>
        <v>1115.8</v>
      </c>
      <c r="O27" s="237"/>
      <c r="P27" s="237"/>
      <c r="Q27" s="104"/>
      <c r="R27" s="31"/>
      <c r="S27" s="31"/>
      <c r="T27" s="31"/>
      <c r="U27" s="31"/>
      <c r="V27" s="94">
        <f>ROUND(starý!H$53,1)*1000</f>
        <v>700</v>
      </c>
      <c r="W27" s="95">
        <f t="shared" si="1"/>
        <v>800</v>
      </c>
      <c r="X27" s="95" t="b">
        <f t="shared" si="2"/>
        <v>0</v>
      </c>
      <c r="Y27" s="105"/>
    </row>
    <row r="28" spans="1:25" ht="16.5" customHeight="1">
      <c r="A28" s="31"/>
      <c r="B28" s="308"/>
      <c r="C28" s="308"/>
      <c r="D28" s="308"/>
      <c r="E28" s="308"/>
      <c r="F28" s="308"/>
      <c r="G28" s="241"/>
      <c r="H28" s="237"/>
      <c r="I28" s="237"/>
      <c r="J28" s="91">
        <v>30</v>
      </c>
      <c r="K28" s="242" t="b">
        <f>AND(L28&gt;2000,$G$27=1)</f>
        <v>0</v>
      </c>
      <c r="L28" s="92">
        <f t="shared" si="3"/>
        <v>800</v>
      </c>
      <c r="M28" s="242" t="b">
        <f t="shared" si="0"/>
        <v>0</v>
      </c>
      <c r="N28" s="93">
        <f>INDEX(starý!$A$29:$J$44,starý!$B$36,9)*$V28/1000</f>
        <v>1090.4</v>
      </c>
      <c r="O28" s="237"/>
      <c r="P28" s="237"/>
      <c r="Q28" s="104"/>
      <c r="R28" s="31"/>
      <c r="S28" s="31"/>
      <c r="T28" s="31"/>
      <c r="U28" s="31"/>
      <c r="V28" s="94">
        <f>ROUND(starý!I$53,1)*1000</f>
        <v>800</v>
      </c>
      <c r="W28" s="95">
        <f t="shared" si="1"/>
        <v>800</v>
      </c>
      <c r="X28" s="95" t="b">
        <f t="shared" si="2"/>
        <v>0</v>
      </c>
      <c r="Y28" s="105"/>
    </row>
    <row r="29" spans="1:25" ht="15.75">
      <c r="A29" s="31"/>
      <c r="B29" s="308"/>
      <c r="C29" s="308"/>
      <c r="D29" s="308"/>
      <c r="E29" s="308"/>
      <c r="F29" s="308"/>
      <c r="G29" s="237"/>
      <c r="H29" s="237"/>
      <c r="I29" s="237"/>
      <c r="J29" s="91">
        <v>33</v>
      </c>
      <c r="K29" s="242" t="b">
        <f>AND(L29&gt;2000,$G$27=1)</f>
        <v>0</v>
      </c>
      <c r="L29" s="92">
        <f t="shared" si="3"/>
        <v>500</v>
      </c>
      <c r="M29" s="242" t="b">
        <f t="shared" si="0"/>
        <v>0</v>
      </c>
      <c r="N29" s="93">
        <f>INDEX(starý!$A$29:$J$44,starý!$B$36,10)*$V29/1000</f>
        <v>1132.5</v>
      </c>
      <c r="O29" s="237"/>
      <c r="P29" s="237"/>
      <c r="Q29" s="104"/>
      <c r="R29" s="31"/>
      <c r="S29" s="31"/>
      <c r="T29" s="31"/>
      <c r="U29" s="31"/>
      <c r="V29" s="94">
        <f>ROUND(starý!J$53,1)*1000</f>
        <v>500</v>
      </c>
      <c r="W29" s="95">
        <f t="shared" si="1"/>
        <v>600</v>
      </c>
      <c r="X29" s="95" t="b">
        <f t="shared" si="2"/>
        <v>0</v>
      </c>
      <c r="Y29" s="105"/>
    </row>
    <row r="30" spans="1:25" ht="12.75">
      <c r="A30" s="31"/>
      <c r="B30" s="308"/>
      <c r="C30" s="308"/>
      <c r="D30" s="308"/>
      <c r="E30" s="308"/>
      <c r="F30" s="308"/>
      <c r="G30" s="237"/>
      <c r="H30" s="237"/>
      <c r="I30" s="237"/>
      <c r="J30" s="237"/>
      <c r="K30" s="232"/>
      <c r="L30" s="237"/>
      <c r="M30" s="237"/>
      <c r="N30" s="237"/>
      <c r="O30" s="237"/>
      <c r="P30" s="237"/>
      <c r="Q30" s="104"/>
      <c r="R30" s="31"/>
      <c r="S30" s="31"/>
      <c r="T30" s="31"/>
      <c r="U30" s="31"/>
      <c r="V30" s="96"/>
      <c r="W30" s="95"/>
      <c r="X30" s="95"/>
      <c r="Y30" s="105"/>
    </row>
    <row r="31" spans="1:25" ht="12.75">
      <c r="A31" s="31"/>
      <c r="B31" s="31"/>
      <c r="C31" s="31"/>
      <c r="D31" s="31"/>
      <c r="E31" s="31"/>
      <c r="F31" s="31"/>
      <c r="G31" s="31"/>
      <c r="H31" s="31"/>
      <c r="I31" s="31"/>
      <c r="J31" s="31"/>
      <c r="K31" s="31"/>
      <c r="L31" s="31"/>
      <c r="M31" s="31"/>
      <c r="N31" s="31"/>
      <c r="O31" s="31"/>
      <c r="P31" s="31"/>
      <c r="Q31" s="31"/>
      <c r="R31" s="31"/>
      <c r="S31" s="31"/>
      <c r="T31" s="31"/>
      <c r="U31" s="31"/>
      <c r="V31" s="104"/>
      <c r="W31" s="105"/>
      <c r="X31" s="105"/>
      <c r="Y31" s="105"/>
    </row>
    <row r="32" spans="2:25" ht="12.75">
      <c r="B32" s="31"/>
      <c r="C32" s="31"/>
      <c r="D32" s="31"/>
      <c r="E32" s="31"/>
      <c r="F32" s="31"/>
      <c r="G32" s="31"/>
      <c r="H32" s="31"/>
      <c r="I32" s="31"/>
      <c r="J32" s="31"/>
      <c r="K32" s="31"/>
      <c r="L32" s="31"/>
      <c r="M32" s="31"/>
      <c r="N32" s="31"/>
      <c r="O32" s="31"/>
      <c r="P32" s="31"/>
      <c r="V32" s="105"/>
      <c r="W32" s="105"/>
      <c r="X32" s="105"/>
      <c r="Y32" s="105"/>
    </row>
    <row r="33" spans="2:25" ht="12.75">
      <c r="B33" s="31"/>
      <c r="C33" s="31"/>
      <c r="D33" s="31"/>
      <c r="E33" s="31"/>
      <c r="F33" s="31"/>
      <c r="G33" s="31"/>
      <c r="H33" s="31"/>
      <c r="I33" s="31"/>
      <c r="J33" s="31"/>
      <c r="K33" s="31"/>
      <c r="L33" s="31"/>
      <c r="M33" s="31"/>
      <c r="N33" s="31"/>
      <c r="O33" s="31"/>
      <c r="P33" s="31"/>
      <c r="V33" s="105"/>
      <c r="W33" s="105"/>
      <c r="X33" s="105"/>
      <c r="Y33" s="105"/>
    </row>
    <row r="34" spans="22:25" ht="12.75">
      <c r="V34" s="105"/>
      <c r="W34" s="105"/>
      <c r="X34" s="105"/>
      <c r="Y34" s="105"/>
    </row>
    <row r="35" spans="22:25" ht="12.75">
      <c r="V35" s="105"/>
      <c r="W35" s="105"/>
      <c r="X35" s="105"/>
      <c r="Y35" s="105"/>
    </row>
    <row r="36" spans="22:25" ht="12.75">
      <c r="V36" s="105"/>
      <c r="W36" s="105"/>
      <c r="X36" s="105"/>
      <c r="Y36" s="105"/>
    </row>
  </sheetData>
  <sheetProtection password="C889" sheet="1" selectLockedCells="1" selectUnlockedCells="1"/>
  <mergeCells count="8">
    <mergeCell ref="L3:O3"/>
    <mergeCell ref="H13:J13"/>
    <mergeCell ref="B27:F30"/>
    <mergeCell ref="E3:G3"/>
    <mergeCell ref="I3:K3"/>
    <mergeCell ref="G20:I20"/>
    <mergeCell ref="E4:F4"/>
    <mergeCell ref="E7:F7"/>
  </mergeCells>
  <conditionalFormatting sqref="L23">
    <cfRule type="expression" priority="1" dxfId="1" stopIfTrue="1">
      <formula>OR(M23=TRUE,K23=TRUE)</formula>
    </cfRule>
  </conditionalFormatting>
  <conditionalFormatting sqref="N23:N29">
    <cfRule type="expression" priority="2" dxfId="1" stopIfTrue="1">
      <formula>OR(M23=TRUE,K23=TRUE)</formula>
    </cfRule>
  </conditionalFormatting>
  <conditionalFormatting sqref="V26">
    <cfRule type="expression" priority="3" dxfId="1" stopIfTrue="1">
      <formula>$M$26=TRUE</formula>
    </cfRule>
  </conditionalFormatting>
  <conditionalFormatting sqref="V27">
    <cfRule type="expression" priority="4" dxfId="1" stopIfTrue="1">
      <formula>$M$27=TRUE</formula>
    </cfRule>
  </conditionalFormatting>
  <conditionalFormatting sqref="V23">
    <cfRule type="expression" priority="5" dxfId="1" stopIfTrue="1">
      <formula>OR($M$23=TRUE,$K$23=TRUE)</formula>
    </cfRule>
  </conditionalFormatting>
  <conditionalFormatting sqref="V22 L22 N22">
    <cfRule type="expression" priority="6" dxfId="1" stopIfTrue="1">
      <formula>OR($M$22=TRUE,$K$22=TRUE)</formula>
    </cfRule>
  </conditionalFormatting>
  <conditionalFormatting sqref="L24">
    <cfRule type="expression" priority="7" dxfId="1" stopIfTrue="1">
      <formula>OR($M$24=TRUE,$K$24=TRUE)</formula>
    </cfRule>
  </conditionalFormatting>
  <conditionalFormatting sqref="L25">
    <cfRule type="expression" priority="8" dxfId="1" stopIfTrue="1">
      <formula>OR($M$25=TRUE,$K$25=TRUE)</formula>
    </cfRule>
  </conditionalFormatting>
  <conditionalFormatting sqref="L26">
    <cfRule type="expression" priority="9" dxfId="1" stopIfTrue="1">
      <formula>OR($M$26=TRUE,$K$26=TRUE)</formula>
    </cfRule>
  </conditionalFormatting>
  <conditionalFormatting sqref="L27">
    <cfRule type="expression" priority="10" dxfId="1" stopIfTrue="1">
      <formula>OR($M$27=TRUE,$K$27=TRUE)</formula>
    </cfRule>
  </conditionalFormatting>
  <conditionalFormatting sqref="L28">
    <cfRule type="expression" priority="11" dxfId="1" stopIfTrue="1">
      <formula>OR($M$28=TRUE,$K$28=TRUE)</formula>
    </cfRule>
  </conditionalFormatting>
  <conditionalFormatting sqref="L29">
    <cfRule type="expression" priority="12" dxfId="1" stopIfTrue="1">
      <formula>OR($M$29=TRUE,$K$29=TRUE)</formula>
    </cfRule>
  </conditionalFormatting>
  <printOptions/>
  <pageMargins left="0.44" right="0.27" top="1" bottom="1" header="0.4921259845" footer="0.4921259845"/>
  <pageSetup horizontalDpi="600" verticalDpi="600" orientation="landscape" paperSize="9" r:id="rId3"/>
  <ignoredErrors>
    <ignoredError sqref="L23" 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s7"/>
  <dimension ref="A1:AC34"/>
  <sheetViews>
    <sheetView showGridLines="0" showRowColHeaders="0" zoomScale="120" zoomScaleNormal="120" zoomScalePageLayoutView="0" workbookViewId="0" topLeftCell="A1">
      <selection activeCell="A44" sqref="A44"/>
    </sheetView>
  </sheetViews>
  <sheetFormatPr defaultColWidth="9.140625" defaultRowHeight="12.75"/>
  <cols>
    <col min="1" max="1" width="12.8515625" style="0" customWidth="1"/>
    <col min="2" max="15" width="7.8515625" style="0" customWidth="1"/>
    <col min="16" max="16" width="8.7109375" style="0" customWidth="1"/>
    <col min="17" max="29" width="7.8515625" style="0" customWidth="1"/>
  </cols>
  <sheetData>
    <row r="1" spans="1:17" ht="41.25" customHeight="1" thickBot="1">
      <c r="A1" s="31"/>
      <c r="B1" s="31"/>
      <c r="C1" s="31"/>
      <c r="D1" s="31"/>
      <c r="E1" s="31"/>
      <c r="F1" s="31"/>
      <c r="G1" s="31"/>
      <c r="H1" s="31"/>
      <c r="I1" s="31"/>
      <c r="J1" s="31"/>
      <c r="K1" s="31"/>
      <c r="L1" s="31"/>
      <c r="M1" s="31"/>
      <c r="N1" s="31"/>
      <c r="O1" s="31"/>
      <c r="P1" s="31"/>
      <c r="Q1" s="31"/>
    </row>
    <row r="2" spans="1:17" s="81" customFormat="1" ht="17.25" customHeight="1" thickBot="1">
      <c r="A2" s="181" t="str">
        <f>INDEX(Preklady!B3:D92,4,Preklady!A1)</f>
        <v>Iné teplotné podmienky</v>
      </c>
      <c r="B2" s="182"/>
      <c r="C2" s="183"/>
      <c r="D2" s="184"/>
      <c r="E2" s="151"/>
      <c r="F2" s="151"/>
      <c r="G2" s="151"/>
      <c r="H2" s="151"/>
      <c r="I2" s="151"/>
      <c r="J2" s="151"/>
      <c r="K2" s="151"/>
      <c r="L2" s="151"/>
      <c r="M2" s="151"/>
      <c r="N2" s="151"/>
      <c r="O2" s="151"/>
      <c r="P2" s="151"/>
      <c r="Q2" s="121"/>
    </row>
    <row r="3" spans="1:17" s="81" customFormat="1" ht="17.25" customHeight="1">
      <c r="A3" s="136"/>
      <c r="B3" s="180"/>
      <c r="C3" s="137"/>
      <c r="D3" s="138"/>
      <c r="E3" s="138"/>
      <c r="F3" s="138"/>
      <c r="G3" s="138"/>
      <c r="H3" s="138"/>
      <c r="I3" s="138"/>
      <c r="J3" s="138"/>
      <c r="K3" s="138"/>
      <c r="L3" s="138"/>
      <c r="M3" s="138"/>
      <c r="N3" s="138"/>
      <c r="O3" s="138"/>
      <c r="P3" s="138"/>
      <c r="Q3" s="121"/>
    </row>
    <row r="4" spans="1:17" ht="23.25" customHeight="1">
      <c r="A4" s="243">
        <f>podmienky!H11</f>
        <v>3</v>
      </c>
      <c r="B4" s="244" t="str">
        <f>INDEX(Preklady!B3:D92,48,Preklady!A1)</f>
        <v>Typ</v>
      </c>
      <c r="C4" s="189"/>
      <c r="D4" s="222" t="str">
        <f>INDEX(Preklady!B3:D92,47,Preklady!A1)</f>
        <v>Plan</v>
      </c>
      <c r="E4" s="245" t="b">
        <f>podmienky!J3</f>
        <v>0</v>
      </c>
      <c r="F4" s="189"/>
      <c r="G4" s="189"/>
      <c r="H4" s="189"/>
      <c r="I4" s="314" t="str">
        <f>INDEX(Preklady!B3:D92,77,Preklady!A1)</f>
        <v>Prepočet tepelných výkonov zohľadňuje logaritmický priebeh zmeny tepelných výkonov pri nízkych teplotách, teda ak podiel </v>
      </c>
      <c r="J4" s="314"/>
      <c r="K4" s="314"/>
      <c r="L4" s="314"/>
      <c r="M4" s="314"/>
      <c r="N4" s="314"/>
      <c r="O4" s="314"/>
      <c r="P4" s="314"/>
      <c r="Q4" s="31"/>
    </row>
    <row r="5" spans="1:17" ht="8.25" customHeight="1">
      <c r="A5" s="189"/>
      <c r="B5" s="189"/>
      <c r="C5" s="222"/>
      <c r="D5" s="189"/>
      <c r="E5" s="189"/>
      <c r="F5" s="189"/>
      <c r="G5" s="189"/>
      <c r="H5" s="189"/>
      <c r="I5" s="315"/>
      <c r="J5" s="315"/>
      <c r="K5" s="315"/>
      <c r="L5" s="315"/>
      <c r="M5" s="315"/>
      <c r="N5" s="315"/>
      <c r="O5" s="315"/>
      <c r="P5" s="315"/>
      <c r="Q5" s="31"/>
    </row>
    <row r="6" spans="1:17" ht="15" customHeight="1" thickBot="1">
      <c r="A6" s="316" t="str">
        <f>INDEX(Preklady!B3:D92,36,Preklady!A1)</f>
        <v>Vstupná teplota vody  t1 =</v>
      </c>
      <c r="B6" s="316"/>
      <c r="C6" s="316"/>
      <c r="D6" s="176">
        <v>75</v>
      </c>
      <c r="E6" s="189"/>
      <c r="F6" s="189"/>
      <c r="G6" s="189"/>
      <c r="H6" s="189"/>
      <c r="I6" s="315"/>
      <c r="J6" s="315"/>
      <c r="K6" s="315"/>
      <c r="L6" s="315"/>
      <c r="M6" s="315"/>
      <c r="N6" s="315"/>
      <c r="O6" s="315"/>
      <c r="P6" s="315"/>
      <c r="Q6" s="31"/>
    </row>
    <row r="7" spans="1:17" ht="15" customHeight="1" thickBot="1">
      <c r="A7" s="316" t="str">
        <f>INDEX(Preklady!B3:D92,37,Preklady!A1)</f>
        <v>Teplotný rozdiel t1-t2 =</v>
      </c>
      <c r="B7" s="316"/>
      <c r="C7" s="316"/>
      <c r="D7" s="177">
        <v>10</v>
      </c>
      <c r="E7" s="189"/>
      <c r="F7" s="189"/>
      <c r="G7" s="189"/>
      <c r="H7" s="189"/>
      <c r="I7" s="31"/>
      <c r="J7" s="31"/>
      <c r="K7" s="31"/>
      <c r="L7" s="31"/>
      <c r="M7" s="31"/>
      <c r="N7" s="31"/>
      <c r="O7" s="31"/>
      <c r="P7" s="31"/>
      <c r="Q7" s="31"/>
    </row>
    <row r="8" spans="1:17" ht="12.75" customHeight="1" thickBot="1">
      <c r="A8" s="316" t="str">
        <f>INDEX(Preklady!B3:D92,38,Preklady!A1)</f>
        <v>Výstupná teplota vody  t2 =</v>
      </c>
      <c r="B8" s="316"/>
      <c r="C8" s="316"/>
      <c r="D8" s="178">
        <f>D6-D7</f>
        <v>65</v>
      </c>
      <c r="E8" s="189"/>
      <c r="F8" s="189"/>
      <c r="G8" s="189"/>
      <c r="H8" s="189"/>
      <c r="I8" s="61"/>
      <c r="J8" s="31"/>
      <c r="K8" s="31"/>
      <c r="L8" s="31"/>
      <c r="M8" s="31"/>
      <c r="N8" s="31"/>
      <c r="O8" s="31"/>
      <c r="P8" s="31"/>
      <c r="Q8" s="31"/>
    </row>
    <row r="9" spans="1:17" ht="15" customHeight="1">
      <c r="A9" s="316" t="str">
        <f>INDEX(Preklady!B3:D92,34,Preklady!A1)</f>
        <v>Miestnosť   ti =</v>
      </c>
      <c r="B9" s="316"/>
      <c r="C9" s="316"/>
      <c r="D9" s="179">
        <v>20</v>
      </c>
      <c r="E9" s="231"/>
      <c r="F9" s="189"/>
      <c r="G9" s="189"/>
      <c r="H9" s="189"/>
      <c r="I9" s="31"/>
      <c r="J9" s="31"/>
      <c r="K9" s="31"/>
      <c r="L9" s="31"/>
      <c r="M9" s="31"/>
      <c r="N9" s="31"/>
      <c r="O9" s="31"/>
      <c r="P9" s="31"/>
      <c r="Q9" s="31"/>
    </row>
    <row r="10" spans="1:17" ht="15" customHeight="1">
      <c r="A10" s="222"/>
      <c r="B10" s="222"/>
      <c r="C10" s="222"/>
      <c r="D10" s="246"/>
      <c r="E10" s="231"/>
      <c r="F10" s="189"/>
      <c r="G10" s="189"/>
      <c r="H10" s="189"/>
      <c r="I10" s="31"/>
      <c r="J10" s="31"/>
      <c r="K10" s="31"/>
      <c r="L10" s="31"/>
      <c r="M10" s="31"/>
      <c r="N10" s="31"/>
      <c r="O10" s="31"/>
      <c r="P10" s="31"/>
      <c r="Q10" s="31"/>
    </row>
    <row r="11" spans="1:17" ht="31.5" customHeight="1">
      <c r="A11" s="78" t="str">
        <f>INDEX(Preklady!B3:D92,76,Preklady!A1)</f>
        <v>Tabuľka tepelných výkonov [W]</v>
      </c>
      <c r="B11" s="31"/>
      <c r="C11" s="31"/>
      <c r="D11" s="100"/>
      <c r="E11" s="31"/>
      <c r="F11" s="31"/>
      <c r="G11" s="31"/>
      <c r="H11" s="31"/>
      <c r="I11" s="31"/>
      <c r="J11" s="31"/>
      <c r="K11" s="31"/>
      <c r="L11" s="31"/>
      <c r="M11" s="31"/>
      <c r="N11" s="31"/>
      <c r="O11" s="31"/>
      <c r="Q11" s="31"/>
    </row>
    <row r="12" spans="1:29" ht="12.75" customHeight="1">
      <c r="A12" s="152" t="str">
        <f>INDEX(Preklady!B3:D92,64,Preklady!A1)</f>
        <v>Dĺžka (mm)</v>
      </c>
      <c r="B12" s="153">
        <v>400</v>
      </c>
      <c r="C12" s="153">
        <v>500</v>
      </c>
      <c r="D12" s="153">
        <v>600</v>
      </c>
      <c r="E12" s="153">
        <v>700</v>
      </c>
      <c r="F12" s="153">
        <v>800</v>
      </c>
      <c r="G12" s="153">
        <v>900</v>
      </c>
      <c r="H12" s="153">
        <v>1000</v>
      </c>
      <c r="I12" s="153">
        <v>1100</v>
      </c>
      <c r="J12" s="153">
        <v>1200</v>
      </c>
      <c r="K12" s="153">
        <v>1300</v>
      </c>
      <c r="L12" s="153">
        <v>1400</v>
      </c>
      <c r="M12" s="153">
        <v>1500</v>
      </c>
      <c r="N12" s="153">
        <v>1600</v>
      </c>
      <c r="O12" s="153">
        <v>1700</v>
      </c>
      <c r="Q12" s="64"/>
      <c r="R12" s="64"/>
      <c r="S12" s="64"/>
      <c r="T12" s="64"/>
      <c r="U12" s="64"/>
      <c r="V12" s="64"/>
      <c r="W12" s="64"/>
      <c r="X12" s="64"/>
      <c r="Y12" s="64"/>
      <c r="Z12" s="64"/>
      <c r="AA12" s="64"/>
      <c r="AB12" s="64"/>
      <c r="AC12" s="64"/>
    </row>
    <row r="13" spans="1:29" ht="12.75">
      <c r="A13" s="152" t="str">
        <f>INDEX(Preklady!B3:D92,63,Preklady!A1)</f>
        <v>Výška (mm)</v>
      </c>
      <c r="B13" s="154"/>
      <c r="C13" s="154"/>
      <c r="D13" s="154"/>
      <c r="E13" s="154"/>
      <c r="F13" s="154"/>
      <c r="G13" s="154"/>
      <c r="H13" s="154"/>
      <c r="I13" s="154"/>
      <c r="J13" s="154"/>
      <c r="K13" s="154"/>
      <c r="L13" s="154"/>
      <c r="M13" s="154"/>
      <c r="N13" s="154"/>
      <c r="O13" s="154"/>
      <c r="Q13" s="64"/>
      <c r="R13" s="64"/>
      <c r="S13" s="64"/>
      <c r="T13" s="64"/>
      <c r="U13" s="64"/>
      <c r="V13" s="64"/>
      <c r="W13" s="64"/>
      <c r="X13" s="64"/>
      <c r="Y13" s="64"/>
      <c r="Z13" s="64"/>
      <c r="AA13" s="64"/>
      <c r="AB13" s="64"/>
      <c r="AC13" s="64"/>
    </row>
    <row r="14" spans="1:29" ht="12.75">
      <c r="A14" s="134">
        <v>300</v>
      </c>
      <c r="B14" s="83">
        <f aca="true" t="shared" si="0" ref="B14:G14">B12*$H$14/1000</f>
        <v>393.1998885556476</v>
      </c>
      <c r="C14" s="83">
        <f t="shared" si="0"/>
        <v>491.49986069455946</v>
      </c>
      <c r="D14" s="83">
        <f t="shared" si="0"/>
        <v>589.7998328334713</v>
      </c>
      <c r="E14" s="83">
        <f t="shared" si="0"/>
        <v>688.0998049723831</v>
      </c>
      <c r="F14" s="83">
        <f t="shared" si="0"/>
        <v>786.3997771112952</v>
      </c>
      <c r="G14" s="83">
        <f t="shared" si="0"/>
        <v>884.699749250207</v>
      </c>
      <c r="H14" s="133">
        <f>INDEX(podmienky!$G$14:$K$68,7*podmienky!$H$11-6,podmienky!$J$4)</f>
        <v>982.9997213891189</v>
      </c>
      <c r="I14" s="83">
        <f>I$12*$H$14/1000</f>
        <v>1081.2996935280307</v>
      </c>
      <c r="J14" s="83">
        <f aca="true" t="shared" si="1" ref="J14:O14">J12*$H$14/1000</f>
        <v>1179.5996656669427</v>
      </c>
      <c r="K14" s="83">
        <f t="shared" si="1"/>
        <v>1277.8996378058546</v>
      </c>
      <c r="L14" s="83">
        <f t="shared" si="1"/>
        <v>1376.1996099447663</v>
      </c>
      <c r="M14" s="83">
        <f t="shared" si="1"/>
        <v>1474.4995820836784</v>
      </c>
      <c r="N14" s="83">
        <f t="shared" si="1"/>
        <v>1572.7995542225904</v>
      </c>
      <c r="O14" s="83">
        <f t="shared" si="1"/>
        <v>1671.0995263615023</v>
      </c>
      <c r="Q14" s="80"/>
      <c r="R14" s="80"/>
      <c r="S14" s="80"/>
      <c r="T14" s="80"/>
      <c r="U14" s="80"/>
      <c r="V14" s="80"/>
      <c r="W14" s="80"/>
      <c r="X14" s="80"/>
      <c r="Y14" s="80"/>
      <c r="Z14" s="80"/>
      <c r="AA14" s="80"/>
      <c r="AB14" s="80"/>
      <c r="AC14" s="80"/>
    </row>
    <row r="15" spans="1:29" ht="12.75">
      <c r="A15" s="152">
        <v>400</v>
      </c>
      <c r="B15" s="156">
        <f aca="true" t="shared" si="2" ref="B15:G15">B12*$H$15/1000</f>
        <v>493.1996118272955</v>
      </c>
      <c r="C15" s="156">
        <f t="shared" si="2"/>
        <v>616.4995147841194</v>
      </c>
      <c r="D15" s="156">
        <f t="shared" si="2"/>
        <v>739.7994177409432</v>
      </c>
      <c r="E15" s="156">
        <f t="shared" si="2"/>
        <v>863.0993206977671</v>
      </c>
      <c r="F15" s="156">
        <f t="shared" si="2"/>
        <v>986.399223654591</v>
      </c>
      <c r="G15" s="156">
        <f t="shared" si="2"/>
        <v>1109.6991266114148</v>
      </c>
      <c r="H15" s="157">
        <f>INDEX(podmienky!$G$14:$K$68,7*podmienky!$H$11-5,podmienky!$J$4)</f>
        <v>1232.9990295682387</v>
      </c>
      <c r="I15" s="156">
        <f aca="true" t="shared" si="3" ref="I15:O15">I$12*$H$15/1000</f>
        <v>1356.2989325250624</v>
      </c>
      <c r="J15" s="156">
        <f t="shared" si="3"/>
        <v>1479.5988354818865</v>
      </c>
      <c r="K15" s="156">
        <f t="shared" si="3"/>
        <v>1602.8987384387103</v>
      </c>
      <c r="L15" s="156">
        <f t="shared" si="3"/>
        <v>1726.1986413955342</v>
      </c>
      <c r="M15" s="156">
        <f t="shared" si="3"/>
        <v>1849.498544352358</v>
      </c>
      <c r="N15" s="156">
        <f t="shared" si="3"/>
        <v>1972.798447309182</v>
      </c>
      <c r="O15" s="156">
        <f t="shared" si="3"/>
        <v>2096.098350266006</v>
      </c>
      <c r="Q15" s="80"/>
      <c r="R15" s="80"/>
      <c r="S15" s="80"/>
      <c r="T15" s="80"/>
      <c r="U15" s="80"/>
      <c r="V15" s="80"/>
      <c r="W15" s="80"/>
      <c r="X15" s="80"/>
      <c r="Y15" s="80"/>
      <c r="Z15" s="80"/>
      <c r="AA15" s="80"/>
      <c r="AB15" s="80"/>
      <c r="AC15" s="80"/>
    </row>
    <row r="16" spans="1:29" ht="12.75">
      <c r="A16" s="134">
        <v>500</v>
      </c>
      <c r="B16" s="83">
        <f aca="true" t="shared" si="4" ref="B16:G16">B12*$H$16/1000</f>
        <v>587.9973546006154</v>
      </c>
      <c r="C16" s="83">
        <f t="shared" si="4"/>
        <v>734.9966932507693</v>
      </c>
      <c r="D16" s="83">
        <f t="shared" si="4"/>
        <v>881.9960319009231</v>
      </c>
      <c r="E16" s="83">
        <f t="shared" si="4"/>
        <v>1028.995370551077</v>
      </c>
      <c r="F16" s="83">
        <f t="shared" si="4"/>
        <v>1175.9947092012308</v>
      </c>
      <c r="G16" s="83">
        <f t="shared" si="4"/>
        <v>1322.9940478513847</v>
      </c>
      <c r="H16" s="133">
        <f>INDEX(podmienky!$G$14:$K$68,7*podmienky!$H$11-4,podmienky!$J$4)</f>
        <v>1469.9933865015385</v>
      </c>
      <c r="I16" s="83">
        <f aca="true" t="shared" si="5" ref="I16:O16">I$12*$H$16/1000</f>
        <v>1616.9927251516922</v>
      </c>
      <c r="J16" s="83">
        <f t="shared" si="5"/>
        <v>1763.9920638018461</v>
      </c>
      <c r="K16" s="83">
        <f t="shared" si="5"/>
        <v>1910.9914024519999</v>
      </c>
      <c r="L16" s="83">
        <f t="shared" si="5"/>
        <v>2057.990741102154</v>
      </c>
      <c r="M16" s="83">
        <f t="shared" si="5"/>
        <v>2204.990079752308</v>
      </c>
      <c r="N16" s="83">
        <f t="shared" si="5"/>
        <v>2351.9894184024615</v>
      </c>
      <c r="O16" s="83">
        <f t="shared" si="5"/>
        <v>2498.9887570526153</v>
      </c>
      <c r="Q16" s="80"/>
      <c r="R16" s="80"/>
      <c r="S16" s="80"/>
      <c r="T16" s="80"/>
      <c r="U16" s="80"/>
      <c r="V16" s="80"/>
      <c r="W16" s="80"/>
      <c r="X16" s="80"/>
      <c r="Y16" s="80"/>
      <c r="Z16" s="80"/>
      <c r="AA16" s="80"/>
      <c r="AB16" s="80"/>
      <c r="AC16" s="80"/>
    </row>
    <row r="17" spans="1:29" ht="12.75">
      <c r="A17" s="152">
        <v>550</v>
      </c>
      <c r="B17" s="156">
        <f aca="true" t="shared" si="6" ref="B17:G17">B12*$H$17/1000</f>
        <v>637.5472433713487</v>
      </c>
      <c r="C17" s="156">
        <f t="shared" si="6"/>
        <v>796.9340542141858</v>
      </c>
      <c r="D17" s="156">
        <f t="shared" si="6"/>
        <v>956.320865057023</v>
      </c>
      <c r="E17" s="156">
        <f t="shared" si="6"/>
        <v>1115.7076758998603</v>
      </c>
      <c r="F17" s="156">
        <f t="shared" si="6"/>
        <v>1275.0944867426974</v>
      </c>
      <c r="G17" s="156">
        <f t="shared" si="6"/>
        <v>1434.4812975855343</v>
      </c>
      <c r="H17" s="156">
        <f>INDEX(podmienky!$G$14:$K$68,7*podmienky!$H$11-3,podmienky!$J$4)</f>
        <v>1593.8681084283717</v>
      </c>
      <c r="I17" s="156"/>
      <c r="J17" s="156">
        <f>J$12*$H$17/1000</f>
        <v>1912.641730114046</v>
      </c>
      <c r="K17" s="156"/>
      <c r="L17" s="156">
        <f>L$12*$H$17/1000</f>
        <v>2231.4153517997206</v>
      </c>
      <c r="M17" s="156"/>
      <c r="N17" s="156">
        <f>N$12*$H$17/1000</f>
        <v>2550.188973485395</v>
      </c>
      <c r="O17" s="156"/>
      <c r="Q17" s="80"/>
      <c r="R17" s="80"/>
      <c r="S17" s="80"/>
      <c r="T17" s="80"/>
      <c r="U17" s="80"/>
      <c r="V17" s="80"/>
      <c r="W17" s="80"/>
      <c r="X17" s="80"/>
      <c r="Y17" s="80"/>
      <c r="Z17" s="80"/>
      <c r="AA17" s="80"/>
      <c r="AB17" s="80"/>
      <c r="AC17" s="80"/>
    </row>
    <row r="18" spans="1:29" ht="12.75">
      <c r="A18" s="134">
        <v>600</v>
      </c>
      <c r="B18" s="83">
        <f aca="true" t="shared" si="7" ref="B18:G18">B12*$H$18/1000</f>
        <v>679.201438741849</v>
      </c>
      <c r="C18" s="83">
        <f t="shared" si="7"/>
        <v>849.0017984273112</v>
      </c>
      <c r="D18" s="83">
        <f t="shared" si="7"/>
        <v>1018.8021581127734</v>
      </c>
      <c r="E18" s="83">
        <f t="shared" si="7"/>
        <v>1188.6025177982356</v>
      </c>
      <c r="F18" s="83">
        <f t="shared" si="7"/>
        <v>1358.402877483698</v>
      </c>
      <c r="G18" s="83">
        <f t="shared" si="7"/>
        <v>1528.2032371691603</v>
      </c>
      <c r="H18" s="133">
        <f>INDEX(podmienky!$G$14:$K$68,7*podmienky!$H$11-2,podmienky!$J$4)</f>
        <v>1698.0035968546224</v>
      </c>
      <c r="I18" s="83">
        <f aca="true" t="shared" si="8" ref="I18:O18">I$12*$H$18/1000</f>
        <v>1867.8039565400848</v>
      </c>
      <c r="J18" s="83">
        <f t="shared" si="8"/>
        <v>2037.6043162255469</v>
      </c>
      <c r="K18" s="83">
        <f t="shared" si="8"/>
        <v>2207.4046759110092</v>
      </c>
      <c r="L18" s="83">
        <f t="shared" si="8"/>
        <v>2377.205035596471</v>
      </c>
      <c r="M18" s="83">
        <f t="shared" si="8"/>
        <v>2547.0053952819335</v>
      </c>
      <c r="N18" s="83">
        <f t="shared" si="8"/>
        <v>2716.805754967396</v>
      </c>
      <c r="O18" s="83">
        <f t="shared" si="8"/>
        <v>2886.606114652858</v>
      </c>
      <c r="Q18" s="80"/>
      <c r="R18" s="80"/>
      <c r="S18" s="80"/>
      <c r="T18" s="80"/>
      <c r="U18" s="80"/>
      <c r="V18" s="80"/>
      <c r="W18" s="80"/>
      <c r="X18" s="80"/>
      <c r="Y18" s="80"/>
      <c r="Z18" s="80"/>
      <c r="AA18" s="80"/>
      <c r="AB18" s="80"/>
      <c r="AC18" s="80"/>
    </row>
    <row r="19" spans="1:29" ht="12.75">
      <c r="A19" s="152">
        <v>900</v>
      </c>
      <c r="B19" s="156">
        <f aca="true" t="shared" si="9" ref="B19:G19">B12*$H$19/1000</f>
        <v>939.2016695223027</v>
      </c>
      <c r="C19" s="156">
        <f t="shared" si="9"/>
        <v>1174.0020869028783</v>
      </c>
      <c r="D19" s="156">
        <f t="shared" si="9"/>
        <v>1408.802504283454</v>
      </c>
      <c r="E19" s="156">
        <f t="shared" si="9"/>
        <v>1643.6029216640295</v>
      </c>
      <c r="F19" s="156">
        <f t="shared" si="9"/>
        <v>1878.4033390446054</v>
      </c>
      <c r="G19" s="156">
        <f t="shared" si="9"/>
        <v>2113.203756425181</v>
      </c>
      <c r="H19" s="157">
        <f>INDEX(podmienky!$G$14:$K$68,7*podmienky!$H$11-1,podmienky!$J$4)</f>
        <v>2348.0041738057566</v>
      </c>
      <c r="I19" s="156">
        <f aca="true" t="shared" si="10" ref="I19:O19">I$12*$H$19/1000</f>
        <v>2582.8045911863323</v>
      </c>
      <c r="J19" s="156">
        <f t="shared" si="10"/>
        <v>2817.605008566908</v>
      </c>
      <c r="K19" s="156">
        <f t="shared" si="10"/>
        <v>3052.4054259474838</v>
      </c>
      <c r="L19" s="156">
        <f t="shared" si="10"/>
        <v>3287.205843328059</v>
      </c>
      <c r="M19" s="156">
        <f t="shared" si="10"/>
        <v>3522.0062607086347</v>
      </c>
      <c r="N19" s="156">
        <f t="shared" si="10"/>
        <v>3756.806678089211</v>
      </c>
      <c r="O19" s="156">
        <f t="shared" si="10"/>
        <v>3991.607095469786</v>
      </c>
      <c r="Q19" s="80"/>
      <c r="R19" s="80"/>
      <c r="S19" s="80"/>
      <c r="T19" s="80"/>
      <c r="U19" s="80"/>
      <c r="V19" s="80"/>
      <c r="W19" s="80"/>
      <c r="X19" s="80"/>
      <c r="Y19" s="80"/>
      <c r="Z19" s="80"/>
      <c r="AA19" s="80"/>
      <c r="AB19" s="80"/>
      <c r="AC19" s="80"/>
    </row>
    <row r="20" spans="1:17" ht="16.5" customHeight="1">
      <c r="A20" s="135"/>
      <c r="B20" s="31"/>
      <c r="C20" s="31"/>
      <c r="D20" s="31"/>
      <c r="E20" s="31"/>
      <c r="F20" s="31"/>
      <c r="G20" s="31"/>
      <c r="H20" s="31"/>
      <c r="I20" s="31"/>
      <c r="J20" s="31"/>
      <c r="K20" s="31"/>
      <c r="L20" s="31"/>
      <c r="M20" s="31"/>
      <c r="N20" s="31"/>
      <c r="O20" s="31"/>
      <c r="Q20" s="31"/>
    </row>
    <row r="21" spans="1:17" ht="12.75">
      <c r="A21" s="152" t="str">
        <f>INDEX(Preklady!B3:D92,64,Preklady!A1)</f>
        <v>Dĺžka (mm)</v>
      </c>
      <c r="B21" s="153">
        <v>1800</v>
      </c>
      <c r="C21" s="153">
        <v>1900</v>
      </c>
      <c r="D21" s="153">
        <v>2000</v>
      </c>
      <c r="E21" s="153">
        <v>2100</v>
      </c>
      <c r="F21" s="153">
        <v>2200</v>
      </c>
      <c r="G21" s="153">
        <v>2300</v>
      </c>
      <c r="H21" s="153">
        <v>2400</v>
      </c>
      <c r="I21" s="153">
        <v>2500</v>
      </c>
      <c r="J21" s="153">
        <v>2600</v>
      </c>
      <c r="K21" s="153">
        <v>2700</v>
      </c>
      <c r="L21" s="153">
        <v>2800</v>
      </c>
      <c r="M21" s="153">
        <v>2900</v>
      </c>
      <c r="N21" s="153">
        <v>3000</v>
      </c>
      <c r="O21" s="64"/>
      <c r="Q21" s="64"/>
    </row>
    <row r="22" spans="1:17" ht="12.75">
      <c r="A22" s="152" t="str">
        <f>INDEX(Preklady!B3:D92,63,Preklady!A1)</f>
        <v>Výška (mm)</v>
      </c>
      <c r="B22" s="155"/>
      <c r="C22" s="155"/>
      <c r="D22" s="155"/>
      <c r="E22" s="155"/>
      <c r="F22" s="155"/>
      <c r="G22" s="155"/>
      <c r="H22" s="155"/>
      <c r="I22" s="155"/>
      <c r="J22" s="155"/>
      <c r="K22" s="155"/>
      <c r="L22" s="155"/>
      <c r="M22" s="155"/>
      <c r="N22" s="155"/>
      <c r="O22" s="64"/>
      <c r="Q22" s="64"/>
    </row>
    <row r="23" spans="1:17" ht="12.75">
      <c r="A23" s="134">
        <v>300</v>
      </c>
      <c r="B23" s="83">
        <f aca="true" t="shared" si="11" ref="B23:N23">B$21*$H$14/1000</f>
        <v>1769.399498500414</v>
      </c>
      <c r="C23" s="83">
        <f t="shared" si="11"/>
        <v>1867.699470639326</v>
      </c>
      <c r="D23" s="83">
        <f t="shared" si="11"/>
        <v>1965.9994427782378</v>
      </c>
      <c r="E23" s="83">
        <f t="shared" si="11"/>
        <v>2064.29941491715</v>
      </c>
      <c r="F23" s="83">
        <f t="shared" si="11"/>
        <v>2162.5993870560615</v>
      </c>
      <c r="G23" s="83">
        <f t="shared" si="11"/>
        <v>2260.8993591949734</v>
      </c>
      <c r="H23" s="83">
        <f t="shared" si="11"/>
        <v>2359.1993313338853</v>
      </c>
      <c r="I23" s="83">
        <f t="shared" si="11"/>
        <v>2457.4993034727972</v>
      </c>
      <c r="J23" s="83">
        <f t="shared" si="11"/>
        <v>2555.799275611709</v>
      </c>
      <c r="K23" s="83">
        <f t="shared" si="11"/>
        <v>2654.099247750621</v>
      </c>
      <c r="L23" s="83">
        <f t="shared" si="11"/>
        <v>2752.3992198895326</v>
      </c>
      <c r="M23" s="83">
        <f t="shared" si="11"/>
        <v>2850.699192028445</v>
      </c>
      <c r="N23" s="83">
        <f t="shared" si="11"/>
        <v>2948.999164167357</v>
      </c>
      <c r="O23" s="80"/>
      <c r="Q23" s="80"/>
    </row>
    <row r="24" spans="1:17" ht="12.75">
      <c r="A24" s="152">
        <v>400</v>
      </c>
      <c r="B24" s="156">
        <f aca="true" t="shared" si="12" ref="B24:N24">B$21*$H$15/1000</f>
        <v>2219.3982532228297</v>
      </c>
      <c r="C24" s="156">
        <f t="shared" si="12"/>
        <v>2342.6981561796533</v>
      </c>
      <c r="D24" s="156">
        <f t="shared" si="12"/>
        <v>2465.9980591364774</v>
      </c>
      <c r="E24" s="156">
        <f t="shared" si="12"/>
        <v>2589.297962093301</v>
      </c>
      <c r="F24" s="156">
        <f t="shared" si="12"/>
        <v>2712.5978650501247</v>
      </c>
      <c r="G24" s="156">
        <f t="shared" si="12"/>
        <v>2835.8977680069493</v>
      </c>
      <c r="H24" s="156">
        <f t="shared" si="12"/>
        <v>2959.197670963773</v>
      </c>
      <c r="I24" s="156">
        <f t="shared" si="12"/>
        <v>3082.497573920597</v>
      </c>
      <c r="J24" s="156">
        <f t="shared" si="12"/>
        <v>3205.7974768774206</v>
      </c>
      <c r="K24" s="156">
        <f t="shared" si="12"/>
        <v>3329.0973798342443</v>
      </c>
      <c r="L24" s="156">
        <f t="shared" si="12"/>
        <v>3452.3972827910684</v>
      </c>
      <c r="M24" s="156">
        <f t="shared" si="12"/>
        <v>3575.697185747892</v>
      </c>
      <c r="N24" s="156">
        <f t="shared" si="12"/>
        <v>3698.997088704716</v>
      </c>
      <c r="O24" s="80"/>
      <c r="Q24" s="80"/>
    </row>
    <row r="25" spans="1:17" ht="12.75">
      <c r="A25" s="134">
        <v>500</v>
      </c>
      <c r="B25" s="83">
        <f aca="true" t="shared" si="13" ref="B25:N25">B$21*$H$16/1000</f>
        <v>2645.9880957027694</v>
      </c>
      <c r="C25" s="83">
        <f t="shared" si="13"/>
        <v>2792.987434352923</v>
      </c>
      <c r="D25" s="83">
        <f t="shared" si="13"/>
        <v>2939.9867730030774</v>
      </c>
      <c r="E25" s="83">
        <f t="shared" si="13"/>
        <v>3086.9861116532306</v>
      </c>
      <c r="F25" s="83">
        <f t="shared" si="13"/>
        <v>3233.9854503033844</v>
      </c>
      <c r="G25" s="83">
        <f t="shared" si="13"/>
        <v>3380.9847889535386</v>
      </c>
      <c r="H25" s="83">
        <f t="shared" si="13"/>
        <v>3527.9841276036923</v>
      </c>
      <c r="I25" s="83">
        <f t="shared" si="13"/>
        <v>3674.983466253846</v>
      </c>
      <c r="J25" s="83">
        <f t="shared" si="13"/>
        <v>3821.9828049039997</v>
      </c>
      <c r="K25" s="83">
        <f t="shared" si="13"/>
        <v>3968.982143554154</v>
      </c>
      <c r="L25" s="83">
        <f t="shared" si="13"/>
        <v>4115.981482204308</v>
      </c>
      <c r="M25" s="83">
        <f t="shared" si="13"/>
        <v>4262.980820854462</v>
      </c>
      <c r="N25" s="83">
        <f t="shared" si="13"/>
        <v>4409.980159504616</v>
      </c>
      <c r="O25" s="80"/>
      <c r="Q25" s="80"/>
    </row>
    <row r="26" spans="1:17" ht="12.75">
      <c r="A26" s="152">
        <v>550</v>
      </c>
      <c r="B26" s="156">
        <f>B$21*$H$17/1000</f>
        <v>2868.9625951710686</v>
      </c>
      <c r="C26" s="156"/>
      <c r="D26" s="156">
        <f>D$21*$H$17/1000</f>
        <v>3187.7362168567433</v>
      </c>
      <c r="E26" s="158"/>
      <c r="F26" s="164">
        <f>F$21*$H$17/1000</f>
        <v>3506.5098385424176</v>
      </c>
      <c r="G26" s="156"/>
      <c r="H26" s="164">
        <f>H$21*$H$17/1000</f>
        <v>3825.283460228092</v>
      </c>
      <c r="I26" s="156"/>
      <c r="J26" s="164">
        <f>J$21*$H$17/1000</f>
        <v>4144.0570819137665</v>
      </c>
      <c r="K26" s="156"/>
      <c r="L26" s="164">
        <f>L$21*$H$17/1000</f>
        <v>4462.830703599441</v>
      </c>
      <c r="M26" s="156"/>
      <c r="N26" s="164">
        <f>N$21*$H$17/1000</f>
        <v>4781.604325285115</v>
      </c>
      <c r="O26" s="80"/>
      <c r="P26" s="139"/>
      <c r="Q26" s="80"/>
    </row>
    <row r="27" spans="1:17" ht="12.75">
      <c r="A27" s="134">
        <v>600</v>
      </c>
      <c r="B27" s="83">
        <f aca="true" t="shared" si="14" ref="B27:N27">B$21*$H$18/1000</f>
        <v>3056.4064743383205</v>
      </c>
      <c r="C27" s="83">
        <f t="shared" si="14"/>
        <v>3226.2068340237824</v>
      </c>
      <c r="D27" s="83">
        <f t="shared" si="14"/>
        <v>3396.007193709245</v>
      </c>
      <c r="E27" s="83">
        <f t="shared" si="14"/>
        <v>3565.8075533947067</v>
      </c>
      <c r="F27" s="83">
        <f t="shared" si="14"/>
        <v>3735.6079130801695</v>
      </c>
      <c r="G27" s="83">
        <f t="shared" si="14"/>
        <v>3905.4082727656314</v>
      </c>
      <c r="H27" s="83">
        <f t="shared" si="14"/>
        <v>4075.2086324510938</v>
      </c>
      <c r="I27" s="83">
        <f t="shared" si="14"/>
        <v>4245.008992136556</v>
      </c>
      <c r="J27" s="83">
        <f t="shared" si="14"/>
        <v>4414.8093518220185</v>
      </c>
      <c r="K27" s="83">
        <f t="shared" si="14"/>
        <v>4584.609711507481</v>
      </c>
      <c r="L27" s="83">
        <f t="shared" si="14"/>
        <v>4754.410071192942</v>
      </c>
      <c r="M27" s="83">
        <f t="shared" si="14"/>
        <v>4924.210430878405</v>
      </c>
      <c r="N27" s="83">
        <f t="shared" si="14"/>
        <v>5094.010790563867</v>
      </c>
      <c r="O27" s="80"/>
      <c r="Q27" s="80"/>
    </row>
    <row r="28" spans="1:17" ht="12.75">
      <c r="A28" s="152">
        <v>900</v>
      </c>
      <c r="B28" s="156">
        <f aca="true" t="shared" si="15" ref="B28:N28">B$21*$H$19/1000</f>
        <v>4226.407512850362</v>
      </c>
      <c r="C28" s="156">
        <f t="shared" si="15"/>
        <v>4461.207930230938</v>
      </c>
      <c r="D28" s="156">
        <f t="shared" si="15"/>
        <v>4696.008347611513</v>
      </c>
      <c r="E28" s="156">
        <f t="shared" si="15"/>
        <v>4930.808764992089</v>
      </c>
      <c r="F28" s="156">
        <f t="shared" si="15"/>
        <v>5165.609182372665</v>
      </c>
      <c r="G28" s="156">
        <f t="shared" si="15"/>
        <v>5400.40959975324</v>
      </c>
      <c r="H28" s="156">
        <f t="shared" si="15"/>
        <v>5635.210017133816</v>
      </c>
      <c r="I28" s="156">
        <f t="shared" si="15"/>
        <v>5870.010434514391</v>
      </c>
      <c r="J28" s="156">
        <f t="shared" si="15"/>
        <v>6104.8108518949675</v>
      </c>
      <c r="K28" s="156">
        <f t="shared" si="15"/>
        <v>6339.611269275543</v>
      </c>
      <c r="L28" s="156">
        <f t="shared" si="15"/>
        <v>6574.411686656118</v>
      </c>
      <c r="M28" s="156">
        <f t="shared" si="15"/>
        <v>6809.212104036695</v>
      </c>
      <c r="N28" s="156">
        <f t="shared" si="15"/>
        <v>7044.012521417269</v>
      </c>
      <c r="O28" s="80"/>
      <c r="Q28" s="80"/>
    </row>
    <row r="29" spans="1:17" ht="12.75">
      <c r="A29" s="31"/>
      <c r="B29" s="64"/>
      <c r="C29" s="80"/>
      <c r="D29" s="80"/>
      <c r="E29" s="80"/>
      <c r="F29" s="80"/>
      <c r="G29" s="80"/>
      <c r="H29" s="104"/>
      <c r="I29" s="31"/>
      <c r="J29" s="31"/>
      <c r="K29" s="31"/>
      <c r="L29" s="31"/>
      <c r="M29" s="31"/>
      <c r="N29" s="31"/>
      <c r="O29" s="31"/>
      <c r="P29" s="31"/>
      <c r="Q29" s="31"/>
    </row>
    <row r="30" spans="1:17" ht="12.75">
      <c r="A30" s="31"/>
      <c r="B30" s="82"/>
      <c r="C30" s="82"/>
      <c r="D30" s="82"/>
      <c r="E30" s="82"/>
      <c r="F30" s="82"/>
      <c r="G30" s="82"/>
      <c r="H30" s="82"/>
      <c r="I30" s="82"/>
      <c r="J30" s="31"/>
      <c r="K30" s="31"/>
      <c r="L30" s="31"/>
      <c r="M30" s="31"/>
      <c r="N30" s="31"/>
      <c r="O30" s="31"/>
      <c r="P30" s="31"/>
      <c r="Q30" s="31"/>
    </row>
    <row r="31" spans="2:9" s="31" customFormat="1" ht="12.75">
      <c r="B31" s="82"/>
      <c r="C31" s="82"/>
      <c r="D31" s="82"/>
      <c r="E31" s="82"/>
      <c r="F31" s="82"/>
      <c r="G31" s="82"/>
      <c r="H31" s="82"/>
      <c r="I31" s="82"/>
    </row>
    <row r="32" spans="2:9" s="31" customFormat="1" ht="12.75">
      <c r="B32" s="82"/>
      <c r="C32" s="82"/>
      <c r="D32" s="82"/>
      <c r="E32" s="82"/>
      <c r="F32" s="82"/>
      <c r="G32" s="82"/>
      <c r="H32" s="82"/>
      <c r="I32" s="82"/>
    </row>
    <row r="33" spans="1:17" ht="12.75">
      <c r="A33" s="31"/>
      <c r="B33" s="82"/>
      <c r="C33" s="82"/>
      <c r="D33" s="82"/>
      <c r="E33" s="82"/>
      <c r="F33" s="82"/>
      <c r="G33" s="82"/>
      <c r="H33" s="82"/>
      <c r="I33" s="82"/>
      <c r="J33" s="31"/>
      <c r="K33" s="31"/>
      <c r="L33" s="31"/>
      <c r="M33" s="31"/>
      <c r="N33" s="31"/>
      <c r="O33" s="31"/>
      <c r="P33" s="31"/>
      <c r="Q33" s="31"/>
    </row>
    <row r="34" spans="1:17" ht="12.75">
      <c r="A34" s="31"/>
      <c r="B34" s="31"/>
      <c r="C34" s="31"/>
      <c r="D34" s="31"/>
      <c r="E34" s="31"/>
      <c r="F34" s="31"/>
      <c r="G34" s="31"/>
      <c r="H34" s="31"/>
      <c r="I34" s="31"/>
      <c r="J34" s="31"/>
      <c r="K34" s="31"/>
      <c r="L34" s="31"/>
      <c r="M34" s="31"/>
      <c r="N34" s="31"/>
      <c r="O34" s="31"/>
      <c r="P34" s="31"/>
      <c r="Q34" s="31"/>
    </row>
  </sheetData>
  <sheetProtection password="C889" sheet="1" selectLockedCells="1" selectUnlockedCells="1"/>
  <mergeCells count="5">
    <mergeCell ref="I4:P6"/>
    <mergeCell ref="A9:C9"/>
    <mergeCell ref="A7:C7"/>
    <mergeCell ref="A6:C6"/>
    <mergeCell ref="A8:C8"/>
  </mergeCells>
  <conditionalFormatting sqref="B16 B18:B19">
    <cfRule type="expression" priority="2" dxfId="1" stopIfTrue="1">
      <formula>#REF!=5</formula>
    </cfRule>
  </conditionalFormatting>
  <conditionalFormatting sqref="O23:O28 AB14:AB19 V14:V19 X14:X19 Z14:Z19 T14:T19">
    <cfRule type="expression" priority="3" dxfId="10" stopIfTrue="1">
      <formula>#REF!=1</formula>
    </cfRule>
  </conditionalFormatting>
  <conditionalFormatting sqref="U14:U19 W14:W19 Y14:Y19 AA14:AA19 AC14:AC19 Q23:Q28">
    <cfRule type="expression" priority="4" dxfId="1" stopIfTrue="1">
      <formula>#REF!=1</formula>
    </cfRule>
  </conditionalFormatting>
  <conditionalFormatting sqref="E23:N23 E25:N25 E27:N27">
    <cfRule type="expression" priority="5" dxfId="0" stopIfTrue="1">
      <formula>OR($E$4=TRUE,$A$4=1)</formula>
    </cfRule>
  </conditionalFormatting>
  <conditionalFormatting sqref="B17 D17 F17 H17 J17 L17 N17 B26 D26">
    <cfRule type="cellIs" priority="8" dxfId="63" operator="equal" stopIfTrue="1">
      <formula>0</formula>
    </cfRule>
  </conditionalFormatting>
  <conditionalFormatting sqref="C17 E17 G17 I17 K17 M17 O17 C26">
    <cfRule type="cellIs" priority="9" dxfId="63" operator="equal" stopIfTrue="1">
      <formula>0</formula>
    </cfRule>
  </conditionalFormatting>
  <conditionalFormatting sqref="E24:N24 E28:N28">
    <cfRule type="expression" priority="7" dxfId="64" stopIfTrue="1">
      <formula>OR($E$4=TRUE,$A$4=1)</formula>
    </cfRule>
  </conditionalFormatting>
  <conditionalFormatting sqref="F26 H26 J26 L26 N26">
    <cfRule type="expression" priority="8" dxfId="64" stopIfTrue="1">
      <formula>OR($E$4=TRUE,$A$4=1,$A$4=4,$A$4=5,$A$4=6,$A$4=7,$A$4=8)</formula>
    </cfRule>
  </conditionalFormatting>
  <printOptions/>
  <pageMargins left="0.57" right="0.56" top="1" bottom="1" header="0.4921259845" footer="0.4921259845"/>
  <pageSetup horizontalDpi="600" verticalDpi="600" orientation="landscape" paperSize="9" r:id="rId4"/>
  <drawing r:id="rId3"/>
  <legacyDrawing r:id="rId2"/>
  <oleObjects>
    <oleObject progId="Equation.3" shapeId="871258" r:id="rId1"/>
  </oleObjects>
</worksheet>
</file>

<file path=xl/worksheets/sheet7.xml><?xml version="1.0" encoding="utf-8"?>
<worksheet xmlns="http://schemas.openxmlformats.org/spreadsheetml/2006/main" xmlns:r="http://schemas.openxmlformats.org/officeDocument/2006/relationships">
  <sheetPr codeName="s8"/>
  <dimension ref="A1:AC75"/>
  <sheetViews>
    <sheetView showGridLines="0" showRowColHeaders="0" zoomScale="125" zoomScaleNormal="125" zoomScalePageLayoutView="0" workbookViewId="0" topLeftCell="A1">
      <selection activeCell="C15" sqref="C15"/>
    </sheetView>
  </sheetViews>
  <sheetFormatPr defaultColWidth="9.140625" defaultRowHeight="12.75"/>
  <cols>
    <col min="1" max="1" width="4.57421875" style="0" customWidth="1"/>
    <col min="2" max="2" width="5.28125" style="0" customWidth="1"/>
    <col min="3" max="3" width="8.7109375" style="0" customWidth="1"/>
    <col min="4" max="4" width="8.57421875" style="0" customWidth="1"/>
    <col min="5" max="5" width="10.57421875" style="0" customWidth="1"/>
    <col min="6" max="6" width="11.7109375" style="0" customWidth="1"/>
    <col min="7" max="7" width="9.8515625" style="0" customWidth="1"/>
    <col min="8" max="8" width="10.57421875" style="0" customWidth="1"/>
    <col min="10" max="10" width="13.00390625" style="0" customWidth="1"/>
    <col min="12" max="12" width="11.140625" style="0" customWidth="1"/>
    <col min="14" max="14" width="11.421875" style="0" customWidth="1"/>
    <col min="17" max="17" width="3.140625" style="0" customWidth="1"/>
    <col min="18" max="18" width="13.00390625" style="0" bestFit="1" customWidth="1"/>
    <col min="19" max="19" width="35.7109375" style="0" bestFit="1" customWidth="1"/>
  </cols>
  <sheetData>
    <row r="1" spans="1:29" ht="12.75">
      <c r="A1" s="31"/>
      <c r="B1" s="31"/>
      <c r="C1" s="31"/>
      <c r="D1" s="31"/>
      <c r="E1" s="31"/>
      <c r="F1" s="31"/>
      <c r="G1" s="31"/>
      <c r="H1" s="31"/>
      <c r="I1" s="31"/>
      <c r="J1" s="31"/>
      <c r="K1" s="31"/>
      <c r="L1" s="31"/>
      <c r="M1" s="31"/>
      <c r="N1" s="31"/>
      <c r="O1" s="31"/>
      <c r="P1" s="61"/>
      <c r="Q1" s="61"/>
      <c r="R1" s="61"/>
      <c r="S1" s="61"/>
      <c r="T1" s="61"/>
      <c r="U1" s="61"/>
      <c r="V1" s="61"/>
      <c r="W1" s="61"/>
      <c r="X1" s="61"/>
      <c r="Y1" s="61"/>
      <c r="Z1" s="61"/>
      <c r="AA1" s="61"/>
      <c r="AB1" s="61"/>
      <c r="AC1" s="61"/>
    </row>
    <row r="2" spans="1:29" ht="12.75">
      <c r="A2" s="31"/>
      <c r="B2" s="31"/>
      <c r="C2" s="31"/>
      <c r="D2" s="31"/>
      <c r="E2" s="31"/>
      <c r="F2" s="31"/>
      <c r="G2" s="31"/>
      <c r="H2" s="31"/>
      <c r="I2" s="31"/>
      <c r="J2" s="31"/>
      <c r="K2" s="31"/>
      <c r="L2" s="31"/>
      <c r="M2" s="31"/>
      <c r="N2" s="31"/>
      <c r="O2" s="31"/>
      <c r="P2" s="61"/>
      <c r="Q2" s="61"/>
      <c r="R2" s="61"/>
      <c r="S2" s="61"/>
      <c r="T2" s="61"/>
      <c r="U2" s="61"/>
      <c r="V2" s="61"/>
      <c r="W2" s="61"/>
      <c r="X2" s="61"/>
      <c r="Y2" s="61"/>
      <c r="Z2" s="61"/>
      <c r="AA2" s="61"/>
      <c r="AB2" s="61"/>
      <c r="AC2" s="61"/>
    </row>
    <row r="3" spans="1:29" ht="12.75">
      <c r="A3" s="31"/>
      <c r="B3" s="31"/>
      <c r="C3" s="31"/>
      <c r="D3" s="31"/>
      <c r="E3" s="31"/>
      <c r="F3" s="31"/>
      <c r="G3" s="31"/>
      <c r="H3" s="31"/>
      <c r="I3" s="31"/>
      <c r="J3" s="31"/>
      <c r="K3" s="31"/>
      <c r="L3" s="31"/>
      <c r="M3" s="31"/>
      <c r="N3" s="31"/>
      <c r="O3" s="31"/>
      <c r="P3" s="61"/>
      <c r="Q3" s="61"/>
      <c r="R3" s="61"/>
      <c r="S3" s="61"/>
      <c r="T3" s="61"/>
      <c r="U3" s="61"/>
      <c r="V3" s="61"/>
      <c r="W3" s="61"/>
      <c r="X3" s="61"/>
      <c r="Y3" s="61"/>
      <c r="Z3" s="61"/>
      <c r="AA3" s="61"/>
      <c r="AB3" s="61"/>
      <c r="AC3" s="61"/>
    </row>
    <row r="4" spans="1:29" ht="13.5" thickBot="1">
      <c r="A4" s="31"/>
      <c r="B4" s="31"/>
      <c r="C4" s="31"/>
      <c r="D4" s="31"/>
      <c r="E4" s="31"/>
      <c r="F4" s="31"/>
      <c r="G4" s="31"/>
      <c r="H4" s="31"/>
      <c r="I4" s="31"/>
      <c r="J4" s="31"/>
      <c r="K4" s="31"/>
      <c r="L4" s="31"/>
      <c r="M4" s="31"/>
      <c r="N4" s="31"/>
      <c r="O4" s="31"/>
      <c r="P4" s="61"/>
      <c r="Q4" s="61"/>
      <c r="R4" s="61"/>
      <c r="S4" s="61"/>
      <c r="T4" s="61"/>
      <c r="U4" s="61"/>
      <c r="V4" s="61"/>
      <c r="W4" s="61"/>
      <c r="X4" s="61"/>
      <c r="Y4" s="61"/>
      <c r="Z4" s="61"/>
      <c r="AA4" s="61"/>
      <c r="AB4" s="61"/>
      <c r="AC4" s="61"/>
    </row>
    <row r="5" spans="1:29" ht="16.5" thickBot="1">
      <c r="A5" s="31"/>
      <c r="B5" s="74" t="str">
        <f>INDEX(Preklady!B3:D92,2,Preklady!A1)</f>
        <v>Výber radiátora</v>
      </c>
      <c r="C5" s="74"/>
      <c r="D5" s="69"/>
      <c r="E5" s="69"/>
      <c r="F5" s="69"/>
      <c r="G5" s="69"/>
      <c r="H5" s="69"/>
      <c r="I5" s="69"/>
      <c r="J5" s="110" t="str">
        <f>INDEX(Preklady!B3:D95,91,Preklady!A1)</f>
        <v>Tabuľka 1</v>
      </c>
      <c r="K5" s="61"/>
      <c r="L5" s="31" t="str">
        <f>INDEX(Preklady!B3:D97,94,Preklady!A1)</f>
        <v>K - Kompakt</v>
      </c>
      <c r="M5" s="31"/>
      <c r="N5" s="31"/>
      <c r="O5" s="31"/>
      <c r="P5" s="61"/>
      <c r="Q5" s="61"/>
      <c r="R5" s="61"/>
      <c r="S5" s="61"/>
      <c r="T5" s="61"/>
      <c r="U5" s="61"/>
      <c r="V5" s="61"/>
      <c r="W5" s="61"/>
      <c r="X5" s="61"/>
      <c r="Y5" s="61"/>
      <c r="Z5" s="61"/>
      <c r="AA5" s="61"/>
      <c r="AB5" s="61"/>
      <c r="AC5" s="61"/>
    </row>
    <row r="6" spans="1:29" ht="12.75">
      <c r="A6" s="31"/>
      <c r="B6" s="317"/>
      <c r="C6" s="323" t="str">
        <f>INDEX(Preklady!B3:D92,48,Preklady!A1)</f>
        <v>Typ</v>
      </c>
      <c r="D6" s="325" t="str">
        <f>INDEX(Preklady!B3:D92,63,Preklady!A1)</f>
        <v>Výška (mm)</v>
      </c>
      <c r="E6" s="323" t="str">
        <f>INDEX(Preklady!B3:D92,64,Preklady!A1)</f>
        <v>Dĺžka (mm)</v>
      </c>
      <c r="F6" s="323" t="str">
        <f>INDEX(Preklady!B3:D92,79,Preklady!A1)</f>
        <v>Hmotnosť    [kg]</v>
      </c>
      <c r="G6" s="323" t="str">
        <f>INDEX(Preklady!B3:D92,80,Preklady!A1)</f>
        <v>Objem         [ l ]</v>
      </c>
      <c r="H6" s="323" t="str">
        <f>INDEX(Preklady!B3:D92,50,Preklady!A1)</f>
        <v>Výkon</v>
      </c>
      <c r="I6" s="323" t="s">
        <v>85</v>
      </c>
      <c r="J6" s="327" t="str">
        <f>INDEX(Preklady!B3:D92,81,Preklady!A1)</f>
        <v>Úprava</v>
      </c>
      <c r="K6" s="61"/>
      <c r="L6" s="31" t="str">
        <f>INDEX(Preklady!B3:D97,95,Preklady!A1)</f>
        <v>VK - Ventil kompakt</v>
      </c>
      <c r="M6" s="31"/>
      <c r="N6" s="31"/>
      <c r="O6" s="31"/>
      <c r="P6" s="61"/>
      <c r="Q6" s="61"/>
      <c r="R6" s="61"/>
      <c r="S6" s="150"/>
      <c r="T6" s="61"/>
      <c r="U6" s="61"/>
      <c r="V6" s="61"/>
      <c r="W6" s="61"/>
      <c r="X6" s="61"/>
      <c r="Y6" s="61"/>
      <c r="Z6" s="61"/>
      <c r="AA6" s="61"/>
      <c r="AB6" s="61"/>
      <c r="AC6" s="61"/>
    </row>
    <row r="7" spans="1:29" ht="12.75">
      <c r="A7" s="31"/>
      <c r="B7" s="318"/>
      <c r="C7" s="324"/>
      <c r="D7" s="326"/>
      <c r="E7" s="324"/>
      <c r="F7" s="324"/>
      <c r="G7" s="324"/>
      <c r="H7" s="324"/>
      <c r="I7" s="324"/>
      <c r="J7" s="328"/>
      <c r="K7" s="140"/>
      <c r="L7" s="141" t="str">
        <f>INDEX(Preklady!B3:D92,87,Preklady!A1)</f>
        <v>Plan - radiátor s hladkou čelnou plochou</v>
      </c>
      <c r="M7" s="31"/>
      <c r="N7" s="31"/>
      <c r="O7" s="31"/>
      <c r="P7" s="61"/>
      <c r="Q7" s="61"/>
      <c r="R7" s="61"/>
      <c r="S7" s="150"/>
      <c r="T7" s="61"/>
      <c r="U7" s="61"/>
      <c r="V7" s="61"/>
      <c r="W7" s="61"/>
      <c r="X7" s="61"/>
      <c r="Y7" s="61"/>
      <c r="Z7" s="61"/>
      <c r="AA7" s="61"/>
      <c r="AB7" s="61"/>
      <c r="AC7" s="61"/>
    </row>
    <row r="8" spans="1:29" ht="15" customHeight="1">
      <c r="A8" s="31"/>
      <c r="B8" s="214"/>
      <c r="C8" s="247">
        <f>INDEX(údaje!L3:L10,údaje!L12,1)</f>
        <v>22</v>
      </c>
      <c r="D8" s="247">
        <f>INDEX(údaje!M3:M8,údaje!M12,1)</f>
        <v>600</v>
      </c>
      <c r="E8" s="168">
        <v>1200</v>
      </c>
      <c r="F8" s="169">
        <f>IF(B9=TRUE,K9,INDEX(údaje!K18:K61,údaje!L14,1))</f>
        <v>39.034</v>
      </c>
      <c r="G8" s="165">
        <f>IF(B9=TRUE,K9,INDEX(údaje!K18:N61,údaje!L14,2))</f>
        <v>7.38</v>
      </c>
      <c r="H8" s="166">
        <f>IF(B9=TRUE,K9,INDEX(údaje!K18:N61,údaje!L14,3))</f>
        <v>2037.6</v>
      </c>
      <c r="I8" s="167">
        <f>IF(B9=TRUE,K9,INDEX(údaje!K18:N61,údaje!L14,4))</f>
        <v>1.3331</v>
      </c>
      <c r="J8" s="214"/>
      <c r="K8" s="31"/>
      <c r="L8" s="141" t="str">
        <f>INDEX(Preklady!B3:D92,88,Preklady!A1)</f>
        <v>20W - typ 20 o šírke 100mm</v>
      </c>
      <c r="M8" s="142"/>
      <c r="N8" s="142"/>
      <c r="O8" s="31"/>
      <c r="P8" s="61"/>
      <c r="Q8" s="61"/>
      <c r="R8" s="61"/>
      <c r="S8" s="61"/>
      <c r="T8" s="61"/>
      <c r="U8" s="61"/>
      <c r="V8" s="61"/>
      <c r="W8" s="61"/>
      <c r="X8" s="61"/>
      <c r="Y8" s="61"/>
      <c r="Z8" s="61"/>
      <c r="AA8" s="61"/>
      <c r="AB8" s="61"/>
      <c r="AC8" s="61"/>
    </row>
    <row r="9" spans="1:29" ht="12.75" hidden="1">
      <c r="A9" s="31"/>
      <c r="B9" s="189" t="b">
        <f>OR(AND(C9=11,D9=550),AND(D9=550,údaje!O3=TRUE),AND(D9=550,C10=FALSE,E9&gt;2000),AND(D9=550,E9&gt;1000,E10=TRUE))</f>
        <v>0</v>
      </c>
      <c r="C9" s="189">
        <f>INDEX(údaje!L3:L10,údaje!L12,1)</f>
        <v>22</v>
      </c>
      <c r="D9" s="189">
        <f>INDEX(údaje!M3:M8,údaje!M12,1)</f>
        <v>600</v>
      </c>
      <c r="E9" s="143">
        <f>E8</f>
        <v>1200</v>
      </c>
      <c r="F9" s="144">
        <f>F8</f>
        <v>39.034</v>
      </c>
      <c r="G9" s="145">
        <f>G8</f>
        <v>7.38</v>
      </c>
      <c r="H9" s="144">
        <f>H8</f>
        <v>2037.6</v>
      </c>
      <c r="I9" s="146">
        <f>I8</f>
        <v>1.3331</v>
      </c>
      <c r="J9" s="250" t="str">
        <f>IF(B9=TRUE,K9,INDEX(údaje!Q9:Q12,údaje!P7,1))</f>
        <v>K</v>
      </c>
      <c r="K9" s="31" t="s">
        <v>164</v>
      </c>
      <c r="L9" s="141"/>
      <c r="M9" s="142"/>
      <c r="N9" s="142"/>
      <c r="O9" s="31"/>
      <c r="P9" s="61"/>
      <c r="Q9" s="61"/>
      <c r="R9" s="61"/>
      <c r="S9" s="150"/>
      <c r="T9" s="61"/>
      <c r="U9" s="61"/>
      <c r="V9" s="61"/>
      <c r="W9" s="61"/>
      <c r="X9" s="61"/>
      <c r="Y9" s="61"/>
      <c r="Z9" s="61"/>
      <c r="AA9" s="61"/>
      <c r="AB9" s="61"/>
      <c r="AC9" s="61"/>
    </row>
    <row r="10" spans="1:29" ht="12.75">
      <c r="A10" s="31"/>
      <c r="B10" s="189"/>
      <c r="C10" s="248" t="b">
        <f>OR(C9=21,C9=22)</f>
        <v>1</v>
      </c>
      <c r="D10" s="249"/>
      <c r="E10" s="248" t="b">
        <f>IF(MOD(E9/100,2)=0,FALSE,TRUE)</f>
        <v>0</v>
      </c>
      <c r="F10" s="189"/>
      <c r="G10" s="189"/>
      <c r="H10" s="189"/>
      <c r="I10" s="189"/>
      <c r="J10" s="189"/>
      <c r="K10" s="31"/>
      <c r="L10" s="319" t="str">
        <f>INDEX(Preklady!B3:D92,89,Preklady!A1)</f>
        <v>Označenie "N/A" znamená, že daný typ, či rozmer nie je k dispozícii.</v>
      </c>
      <c r="M10" s="319"/>
      <c r="N10" s="319"/>
      <c r="O10" s="31"/>
      <c r="P10" s="61"/>
      <c r="Q10" s="61"/>
      <c r="R10" s="61"/>
      <c r="S10" s="61"/>
      <c r="T10" s="61"/>
      <c r="U10" s="61"/>
      <c r="V10" s="61"/>
      <c r="W10" s="61"/>
      <c r="X10" s="61"/>
      <c r="Y10" s="61"/>
      <c r="Z10" s="61"/>
      <c r="AA10" s="61"/>
      <c r="AB10" s="61"/>
      <c r="AC10" s="61"/>
    </row>
    <row r="11" spans="1:29" ht="41.25" customHeight="1" thickBot="1">
      <c r="A11" s="31"/>
      <c r="B11" s="31"/>
      <c r="C11" s="31"/>
      <c r="D11" s="31"/>
      <c r="E11" s="31"/>
      <c r="F11" s="31"/>
      <c r="G11" s="31"/>
      <c r="H11" s="31"/>
      <c r="I11" s="31"/>
      <c r="J11" s="31"/>
      <c r="K11" s="31"/>
      <c r="L11" s="320"/>
      <c r="M11" s="320"/>
      <c r="N11" s="320"/>
      <c r="O11" s="31"/>
      <c r="P11" s="61"/>
      <c r="Q11" s="61"/>
      <c r="R11" s="61"/>
      <c r="S11" s="61"/>
      <c r="T11" s="61"/>
      <c r="U11" s="61"/>
      <c r="V11" s="61"/>
      <c r="W11" s="61"/>
      <c r="X11" s="61"/>
      <c r="Y11" s="61"/>
      <c r="Z11" s="61"/>
      <c r="AA11" s="61"/>
      <c r="AB11" s="61"/>
      <c r="AC11" s="61"/>
    </row>
    <row r="12" spans="1:29" ht="16.5" thickBot="1">
      <c r="A12" s="31"/>
      <c r="B12" s="173">
        <v>15</v>
      </c>
      <c r="C12" s="74"/>
      <c r="D12" s="74"/>
      <c r="E12" s="69"/>
      <c r="F12" s="75"/>
      <c r="G12" s="75"/>
      <c r="H12" s="75"/>
      <c r="I12" s="75"/>
      <c r="J12" s="111" t="str">
        <f>INDEX(Preklady!B3:D95,92,Preklady!A1)</f>
        <v>Tabuľka 2</v>
      </c>
      <c r="K12" s="140"/>
      <c r="L12" s="74" t="str">
        <f>INDEX(Preklady!B3:D92,82,Preklady!A1)</f>
        <v>Sumarizácia</v>
      </c>
      <c r="M12" s="69"/>
      <c r="N12" s="110" t="str">
        <f>INDEX(Preklady!B3:D95,93,Preklady!A1)</f>
        <v>Tabuľka 3</v>
      </c>
      <c r="O12" s="31"/>
      <c r="P12" s="61"/>
      <c r="Q12" s="61"/>
      <c r="R12" s="61"/>
      <c r="S12" s="61"/>
      <c r="T12" s="61"/>
      <c r="U12" s="61"/>
      <c r="V12" s="61"/>
      <c r="W12" s="61"/>
      <c r="X12" s="61"/>
      <c r="Y12" s="61"/>
      <c r="Z12" s="61"/>
      <c r="AA12" s="61"/>
      <c r="AB12" s="61"/>
      <c r="AC12" s="61"/>
    </row>
    <row r="13" spans="1:29" ht="12.75">
      <c r="A13" s="31"/>
      <c r="B13" s="159">
        <v>14</v>
      </c>
      <c r="C13" s="31"/>
      <c r="D13" s="31"/>
      <c r="E13" s="31"/>
      <c r="F13" s="31"/>
      <c r="G13" s="31"/>
      <c r="H13" s="31"/>
      <c r="I13" s="31"/>
      <c r="J13" s="31"/>
      <c r="K13" s="31"/>
      <c r="L13" s="31"/>
      <c r="M13" s="31"/>
      <c r="N13" s="31"/>
      <c r="O13" s="31"/>
      <c r="P13" s="61"/>
      <c r="Q13" s="61"/>
      <c r="R13" s="61"/>
      <c r="S13" s="61"/>
      <c r="T13" s="61"/>
      <c r="U13" s="61"/>
      <c r="V13" s="61"/>
      <c r="W13" s="61"/>
      <c r="X13" s="61"/>
      <c r="Y13" s="61"/>
      <c r="Z13" s="61"/>
      <c r="AA13" s="61"/>
      <c r="AB13" s="61"/>
      <c r="AC13" s="61"/>
    </row>
    <row r="14" spans="1:29" ht="39" thickBot="1">
      <c r="A14" s="31"/>
      <c r="B14" s="254" t="s">
        <v>357</v>
      </c>
      <c r="C14" s="255" t="str">
        <f>INDEX(Preklady!B3:D92,48,Preklady!A1)</f>
        <v>Typ</v>
      </c>
      <c r="D14" s="255" t="str">
        <f>INDEX(Preklady!B3:D92,63,Preklady!A1)</f>
        <v>Výška (mm)</v>
      </c>
      <c r="E14" s="255" t="str">
        <f>INDEX(Preklady!B3:D92,64,Preklady!A1)</f>
        <v>Dĺžka (mm)</v>
      </c>
      <c r="F14" s="255" t="str">
        <f>INDEX(Preklady!B3:D92,79,Preklady!A1)</f>
        <v>Hmotnosť    [kg]</v>
      </c>
      <c r="G14" s="255" t="str">
        <f>INDEX(Preklady!B3:D92,80,Preklady!A1)</f>
        <v>Objem         [ l ]</v>
      </c>
      <c r="H14" s="255" t="str">
        <f>INDEX(Preklady!B3:D92,50,Preklady!A1)</f>
        <v>Výkon</v>
      </c>
      <c r="I14" s="255" t="s">
        <v>85</v>
      </c>
      <c r="J14" s="256" t="str">
        <f>INDEX(Preklady!B3:D92,81,Preklady!A1)</f>
        <v>Úprava</v>
      </c>
      <c r="K14" s="31"/>
      <c r="L14" s="251" t="str">
        <f>INDEX(Preklady!B3:D92,83,Preklady!A1)</f>
        <v>Celková hmotnosť [kg]</v>
      </c>
      <c r="M14" s="252" t="str">
        <f>INDEX(Preklady!B3:D92,84,Preklady!A1)</f>
        <v>Celkový objem         [ l ]</v>
      </c>
      <c r="N14" s="253" t="str">
        <f>INDEX(Preklady!B3:D92,85,Preklady!A1)</f>
        <v>Celkový výkon             [ kW ]</v>
      </c>
      <c r="O14" s="31"/>
      <c r="P14" s="61"/>
      <c r="Q14" s="61"/>
      <c r="R14" s="61"/>
      <c r="S14" s="61"/>
      <c r="T14" s="61"/>
      <c r="U14" s="61"/>
      <c r="V14" s="61"/>
      <c r="W14" s="61"/>
      <c r="X14" s="61"/>
      <c r="Y14" s="61"/>
      <c r="Z14" s="61"/>
      <c r="AA14" s="61"/>
      <c r="AB14" s="61"/>
      <c r="AC14" s="61"/>
    </row>
    <row r="15" spans="1:29" ht="15" customHeight="1" thickBot="1" thickTop="1">
      <c r="A15" s="31"/>
      <c r="B15" s="54">
        <v>1</v>
      </c>
      <c r="C15" s="55"/>
      <c r="D15" s="55"/>
      <c r="E15" s="58"/>
      <c r="F15" s="59"/>
      <c r="G15" s="57"/>
      <c r="H15" s="58"/>
      <c r="I15" s="56"/>
      <c r="J15" s="90"/>
      <c r="K15" s="31"/>
      <c r="L15" s="147">
        <f>SUM(F15:F34)</f>
        <v>0</v>
      </c>
      <c r="M15" s="148">
        <f>SUM(G15:G34)</f>
        <v>0</v>
      </c>
      <c r="N15" s="149">
        <f>SUM(H15:H34)/1000</f>
        <v>0</v>
      </c>
      <c r="O15" s="31"/>
      <c r="P15" s="61"/>
      <c r="Q15" s="61"/>
      <c r="R15" s="61"/>
      <c r="S15" s="61"/>
      <c r="T15" s="61"/>
      <c r="U15" s="61"/>
      <c r="V15" s="61"/>
      <c r="W15" s="61"/>
      <c r="X15" s="61"/>
      <c r="Y15" s="61"/>
      <c r="Z15" s="61"/>
      <c r="AA15" s="61"/>
      <c r="AB15" s="61"/>
      <c r="AC15" s="61"/>
    </row>
    <row r="16" spans="1:29" ht="13.5" thickTop="1">
      <c r="A16" s="31"/>
      <c r="B16" s="257">
        <v>2</v>
      </c>
      <c r="C16" s="258"/>
      <c r="D16" s="258"/>
      <c r="E16" s="259"/>
      <c r="F16" s="260"/>
      <c r="G16" s="261"/>
      <c r="H16" s="259"/>
      <c r="I16" s="262"/>
      <c r="J16" s="263"/>
      <c r="K16" s="31"/>
      <c r="L16" s="31"/>
      <c r="M16" s="31"/>
      <c r="N16" s="31"/>
      <c r="O16" s="31"/>
      <c r="P16" s="61"/>
      <c r="Q16" s="61"/>
      <c r="R16" s="61"/>
      <c r="S16" s="61"/>
      <c r="T16" s="61"/>
      <c r="U16" s="61"/>
      <c r="V16" s="61"/>
      <c r="W16" s="61"/>
      <c r="X16" s="61"/>
      <c r="Y16" s="61"/>
      <c r="Z16" s="61"/>
      <c r="AA16" s="61"/>
      <c r="AB16" s="61"/>
      <c r="AC16" s="61"/>
    </row>
    <row r="17" spans="1:29" ht="12.75">
      <c r="A17" s="31"/>
      <c r="B17" s="54">
        <v>3</v>
      </c>
      <c r="C17" s="55"/>
      <c r="D17" s="55"/>
      <c r="E17" s="58"/>
      <c r="F17" s="59"/>
      <c r="G17" s="57"/>
      <c r="H17" s="58"/>
      <c r="I17" s="56"/>
      <c r="J17" s="90"/>
      <c r="K17" s="31"/>
      <c r="L17" s="322" t="str">
        <f>INDEX(Preklady!B3:D92,86,Preklady!A1)</f>
        <v>V tabuľke 1 vyberte radiátor zadaním typu, výšky a dĺžky. Zaškrtnutím políčka zvoľte prípadnú úpravu. Automaticky mu budú potom priradené technické parametre. Po zatlačení tlačítka "Kopíruj do zoznamu"  sa parametre vybraného radiátora skopírujú do tabuľky 2. V prípade, že chcete vybrať viac rovnakých radiátorov, postačí opätovné zatlačenie tlačítka. Do zoznamu je možné zadať maximálne 20 radiátorov. V tabuľke 3 nájdete potom súčet jednotlivých parametrov vybraných radiátorov. Pred zadávaním novej skupiny radiátorov je potrebné premazať zoznam tlačítkom "Zmaž zoznam".</v>
      </c>
      <c r="M17" s="322"/>
      <c r="N17" s="322"/>
      <c r="O17" s="31"/>
      <c r="P17" s="61"/>
      <c r="Q17" s="61"/>
      <c r="R17" s="61"/>
      <c r="S17" s="61"/>
      <c r="T17" s="61"/>
      <c r="U17" s="61"/>
      <c r="V17" s="61"/>
      <c r="W17" s="61"/>
      <c r="X17" s="61"/>
      <c r="Y17" s="61"/>
      <c r="Z17" s="61"/>
      <c r="AA17" s="61"/>
      <c r="AB17" s="61"/>
      <c r="AC17" s="61"/>
    </row>
    <row r="18" spans="1:29" ht="12.75">
      <c r="A18" s="31"/>
      <c r="B18" s="257">
        <v>4</v>
      </c>
      <c r="C18" s="258"/>
      <c r="D18" s="258"/>
      <c r="E18" s="259"/>
      <c r="F18" s="260"/>
      <c r="G18" s="261"/>
      <c r="H18" s="259"/>
      <c r="I18" s="262"/>
      <c r="J18" s="263"/>
      <c r="K18" s="31"/>
      <c r="L18" s="322"/>
      <c r="M18" s="322"/>
      <c r="N18" s="322"/>
      <c r="O18" s="31"/>
      <c r="P18" s="61"/>
      <c r="Q18" s="61"/>
      <c r="R18" s="61"/>
      <c r="S18" s="61"/>
      <c r="T18" s="61"/>
      <c r="U18" s="61"/>
      <c r="V18" s="61"/>
      <c r="W18" s="61"/>
      <c r="X18" s="61"/>
      <c r="Y18" s="61"/>
      <c r="Z18" s="61"/>
      <c r="AA18" s="61"/>
      <c r="AB18" s="61"/>
      <c r="AC18" s="61"/>
    </row>
    <row r="19" spans="1:29" ht="12.75">
      <c r="A19" s="31"/>
      <c r="B19" s="54">
        <v>5</v>
      </c>
      <c r="C19" s="55"/>
      <c r="D19" s="55"/>
      <c r="E19" s="58"/>
      <c r="F19" s="59"/>
      <c r="G19" s="57"/>
      <c r="H19" s="58"/>
      <c r="I19" s="56"/>
      <c r="J19" s="90"/>
      <c r="K19" s="31"/>
      <c r="L19" s="322"/>
      <c r="M19" s="322"/>
      <c r="N19" s="322"/>
      <c r="O19" s="31"/>
      <c r="P19" s="61"/>
      <c r="Q19" s="61"/>
      <c r="R19" s="61"/>
      <c r="S19" s="61"/>
      <c r="T19" s="61"/>
      <c r="U19" s="61"/>
      <c r="V19" s="61"/>
      <c r="W19" s="61"/>
      <c r="X19" s="61"/>
      <c r="Y19" s="61"/>
      <c r="Z19" s="61"/>
      <c r="AA19" s="61"/>
      <c r="AB19" s="61"/>
      <c r="AC19" s="61"/>
    </row>
    <row r="20" spans="1:29" ht="12.75">
      <c r="A20" s="31"/>
      <c r="B20" s="257">
        <v>6</v>
      </c>
      <c r="C20" s="258"/>
      <c r="D20" s="258"/>
      <c r="E20" s="259"/>
      <c r="F20" s="260"/>
      <c r="G20" s="261"/>
      <c r="H20" s="259"/>
      <c r="I20" s="262"/>
      <c r="J20" s="263"/>
      <c r="K20" s="31"/>
      <c r="L20" s="322"/>
      <c r="M20" s="322"/>
      <c r="N20" s="322"/>
      <c r="O20" s="31"/>
      <c r="P20" s="61"/>
      <c r="Q20" s="61"/>
      <c r="R20" s="61"/>
      <c r="S20" s="61"/>
      <c r="T20" s="61"/>
      <c r="U20" s="61"/>
      <c r="V20" s="61"/>
      <c r="W20" s="61"/>
      <c r="X20" s="61"/>
      <c r="Y20" s="61"/>
      <c r="Z20" s="61"/>
      <c r="AA20" s="61"/>
      <c r="AB20" s="61"/>
      <c r="AC20" s="61"/>
    </row>
    <row r="21" spans="1:29" ht="12.75">
      <c r="A21" s="31"/>
      <c r="B21" s="54">
        <v>7</v>
      </c>
      <c r="C21" s="55"/>
      <c r="D21" s="55"/>
      <c r="E21" s="58"/>
      <c r="F21" s="59"/>
      <c r="G21" s="57"/>
      <c r="H21" s="58"/>
      <c r="I21" s="56"/>
      <c r="J21" s="90"/>
      <c r="K21" s="31"/>
      <c r="L21" s="322"/>
      <c r="M21" s="322"/>
      <c r="N21" s="322"/>
      <c r="O21" s="31"/>
      <c r="P21" s="61"/>
      <c r="Q21" s="61"/>
      <c r="R21" s="61"/>
      <c r="S21" s="61"/>
      <c r="T21" s="61"/>
      <c r="U21" s="61"/>
      <c r="V21" s="61"/>
      <c r="W21" s="61"/>
      <c r="X21" s="61"/>
      <c r="Y21" s="61"/>
      <c r="Z21" s="61"/>
      <c r="AA21" s="61"/>
      <c r="AB21" s="61"/>
      <c r="AC21" s="61"/>
    </row>
    <row r="22" spans="1:29" ht="12.75">
      <c r="A22" s="31"/>
      <c r="B22" s="257">
        <v>8</v>
      </c>
      <c r="C22" s="258"/>
      <c r="D22" s="258"/>
      <c r="E22" s="259"/>
      <c r="F22" s="260"/>
      <c r="G22" s="261"/>
      <c r="H22" s="259"/>
      <c r="I22" s="262"/>
      <c r="J22" s="263"/>
      <c r="K22" s="31"/>
      <c r="L22" s="322"/>
      <c r="M22" s="322"/>
      <c r="N22" s="322"/>
      <c r="O22" s="31"/>
      <c r="P22" s="61"/>
      <c r="Q22" s="61"/>
      <c r="R22" s="61"/>
      <c r="S22" s="61"/>
      <c r="T22" s="61"/>
      <c r="U22" s="61"/>
      <c r="V22" s="61"/>
      <c r="W22" s="61"/>
      <c r="X22" s="61"/>
      <c r="Y22" s="61"/>
      <c r="Z22" s="61"/>
      <c r="AA22" s="61"/>
      <c r="AB22" s="61"/>
      <c r="AC22" s="61"/>
    </row>
    <row r="23" spans="1:29" ht="12.75">
      <c r="A23" s="31"/>
      <c r="B23" s="54">
        <v>9</v>
      </c>
      <c r="C23" s="55"/>
      <c r="D23" s="55"/>
      <c r="E23" s="58"/>
      <c r="F23" s="59"/>
      <c r="G23" s="57"/>
      <c r="H23" s="58"/>
      <c r="I23" s="56"/>
      <c r="J23" s="90"/>
      <c r="K23" s="31"/>
      <c r="L23" s="322"/>
      <c r="M23" s="322"/>
      <c r="N23" s="322"/>
      <c r="O23" s="31"/>
      <c r="P23" s="61"/>
      <c r="Q23" s="61"/>
      <c r="R23" s="61"/>
      <c r="S23" s="61"/>
      <c r="T23" s="61"/>
      <c r="U23" s="61"/>
      <c r="V23" s="61"/>
      <c r="W23" s="61"/>
      <c r="X23" s="61"/>
      <c r="Y23" s="61"/>
      <c r="Z23" s="61"/>
      <c r="AA23" s="61"/>
      <c r="AB23" s="61"/>
      <c r="AC23" s="61"/>
    </row>
    <row r="24" spans="1:29" ht="12.75">
      <c r="A24" s="31"/>
      <c r="B24" s="257">
        <v>10</v>
      </c>
      <c r="C24" s="258"/>
      <c r="D24" s="258"/>
      <c r="E24" s="259"/>
      <c r="F24" s="260"/>
      <c r="G24" s="261"/>
      <c r="H24" s="259"/>
      <c r="I24" s="262"/>
      <c r="J24" s="263"/>
      <c r="K24" s="31"/>
      <c r="L24" s="322"/>
      <c r="M24" s="322"/>
      <c r="N24" s="322"/>
      <c r="O24" s="31"/>
      <c r="P24" s="61"/>
      <c r="Q24" s="61"/>
      <c r="R24" s="61"/>
      <c r="S24" s="61"/>
      <c r="T24" s="61"/>
      <c r="U24" s="61"/>
      <c r="V24" s="61"/>
      <c r="W24" s="61"/>
      <c r="X24" s="61"/>
      <c r="Y24" s="61"/>
      <c r="Z24" s="61"/>
      <c r="AA24" s="61"/>
      <c r="AB24" s="61"/>
      <c r="AC24" s="61"/>
    </row>
    <row r="25" spans="1:29" ht="12.75">
      <c r="A25" s="31"/>
      <c r="B25" s="54">
        <v>11</v>
      </c>
      <c r="C25" s="55"/>
      <c r="D25" s="55"/>
      <c r="E25" s="58"/>
      <c r="F25" s="59"/>
      <c r="G25" s="57"/>
      <c r="H25" s="58"/>
      <c r="I25" s="56"/>
      <c r="J25" s="90"/>
      <c r="K25" s="31"/>
      <c r="L25" s="322"/>
      <c r="M25" s="322"/>
      <c r="N25" s="322"/>
      <c r="O25" s="31"/>
      <c r="P25" s="61"/>
      <c r="Q25" s="61"/>
      <c r="R25" s="61"/>
      <c r="S25" s="61"/>
      <c r="T25" s="61"/>
      <c r="U25" s="61"/>
      <c r="V25" s="61"/>
      <c r="W25" s="61"/>
      <c r="X25" s="61"/>
      <c r="Y25" s="61"/>
      <c r="Z25" s="61"/>
      <c r="AA25" s="61"/>
      <c r="AB25" s="61"/>
      <c r="AC25" s="61"/>
    </row>
    <row r="26" spans="1:29" ht="12.75">
      <c r="A26" s="31"/>
      <c r="B26" s="257">
        <v>12</v>
      </c>
      <c r="C26" s="258"/>
      <c r="D26" s="258"/>
      <c r="E26" s="259"/>
      <c r="F26" s="260"/>
      <c r="G26" s="261"/>
      <c r="H26" s="259"/>
      <c r="I26" s="262"/>
      <c r="J26" s="263"/>
      <c r="K26" s="31"/>
      <c r="L26" s="322"/>
      <c r="M26" s="322"/>
      <c r="N26" s="322"/>
      <c r="O26" s="31"/>
      <c r="P26" s="61"/>
      <c r="Q26" s="61"/>
      <c r="R26" s="61"/>
      <c r="S26" s="61"/>
      <c r="T26" s="61"/>
      <c r="U26" s="61"/>
      <c r="V26" s="61"/>
      <c r="W26" s="61"/>
      <c r="X26" s="61"/>
      <c r="Y26" s="61"/>
      <c r="Z26" s="61"/>
      <c r="AA26" s="61"/>
      <c r="AB26" s="61"/>
      <c r="AC26" s="61"/>
    </row>
    <row r="27" spans="1:29" ht="12.75">
      <c r="A27" s="31"/>
      <c r="B27" s="54">
        <v>13</v>
      </c>
      <c r="C27" s="55"/>
      <c r="D27" s="55"/>
      <c r="E27" s="58"/>
      <c r="F27" s="59"/>
      <c r="G27" s="57"/>
      <c r="H27" s="58"/>
      <c r="I27" s="56"/>
      <c r="J27" s="90"/>
      <c r="K27" s="31"/>
      <c r="L27" s="322"/>
      <c r="M27" s="322"/>
      <c r="N27" s="322"/>
      <c r="O27" s="31"/>
      <c r="P27" s="61"/>
      <c r="Q27" s="61"/>
      <c r="R27" s="61"/>
      <c r="S27" s="61"/>
      <c r="T27" s="61"/>
      <c r="U27" s="61"/>
      <c r="V27" s="61"/>
      <c r="W27" s="61"/>
      <c r="X27" s="61"/>
      <c r="Y27" s="61"/>
      <c r="Z27" s="61"/>
      <c r="AA27" s="61"/>
      <c r="AB27" s="61"/>
      <c r="AC27" s="61"/>
    </row>
    <row r="28" spans="1:29" ht="12.75">
      <c r="A28" s="31"/>
      <c r="B28" s="257">
        <v>14</v>
      </c>
      <c r="C28" s="258"/>
      <c r="D28" s="258"/>
      <c r="E28" s="259"/>
      <c r="F28" s="260"/>
      <c r="G28" s="261"/>
      <c r="H28" s="259"/>
      <c r="I28" s="262"/>
      <c r="J28" s="263"/>
      <c r="K28" s="31"/>
      <c r="L28" s="322"/>
      <c r="M28" s="322"/>
      <c r="N28" s="322"/>
      <c r="O28" s="31"/>
      <c r="P28" s="61"/>
      <c r="Q28" s="61"/>
      <c r="R28" s="61"/>
      <c r="S28" s="61"/>
      <c r="T28" s="61"/>
      <c r="U28" s="61"/>
      <c r="V28" s="61"/>
      <c r="W28" s="61"/>
      <c r="X28" s="61"/>
      <c r="Y28" s="61"/>
      <c r="Z28" s="61"/>
      <c r="AA28" s="61"/>
      <c r="AB28" s="61"/>
      <c r="AC28" s="61"/>
    </row>
    <row r="29" spans="1:29" ht="12.75">
      <c r="A29" s="31"/>
      <c r="B29" s="54">
        <v>15</v>
      </c>
      <c r="C29" s="55"/>
      <c r="D29" s="55"/>
      <c r="E29" s="58"/>
      <c r="F29" s="59"/>
      <c r="G29" s="57"/>
      <c r="H29" s="58"/>
      <c r="I29" s="56"/>
      <c r="J29" s="90"/>
      <c r="K29" s="31"/>
      <c r="L29" s="322"/>
      <c r="M29" s="322"/>
      <c r="N29" s="322"/>
      <c r="O29" s="31"/>
      <c r="P29" s="61"/>
      <c r="Q29" s="61"/>
      <c r="R29" s="61"/>
      <c r="S29" s="61"/>
      <c r="T29" s="61"/>
      <c r="U29" s="61"/>
      <c r="V29" s="61"/>
      <c r="W29" s="61"/>
      <c r="X29" s="61"/>
      <c r="Y29" s="61"/>
      <c r="Z29" s="61"/>
      <c r="AA29" s="61"/>
      <c r="AB29" s="61"/>
      <c r="AC29" s="61"/>
    </row>
    <row r="30" spans="1:29" ht="12.75">
      <c r="A30" s="31"/>
      <c r="B30" s="257">
        <v>16</v>
      </c>
      <c r="C30" s="258"/>
      <c r="D30" s="258"/>
      <c r="E30" s="259"/>
      <c r="F30" s="260"/>
      <c r="G30" s="261"/>
      <c r="H30" s="259"/>
      <c r="I30" s="262"/>
      <c r="J30" s="263"/>
      <c r="K30" s="31"/>
      <c r="L30" s="322"/>
      <c r="M30" s="322"/>
      <c r="N30" s="322"/>
      <c r="O30" s="31"/>
      <c r="P30" s="61"/>
      <c r="Q30" s="61"/>
      <c r="R30" s="61"/>
      <c r="S30" s="61"/>
      <c r="T30" s="61"/>
      <c r="U30" s="61"/>
      <c r="V30" s="61"/>
      <c r="W30" s="61"/>
      <c r="X30" s="61"/>
      <c r="Y30" s="61"/>
      <c r="Z30" s="61"/>
      <c r="AA30" s="61"/>
      <c r="AB30" s="61"/>
      <c r="AC30" s="61"/>
    </row>
    <row r="31" spans="1:29" ht="12.75">
      <c r="A31" s="31"/>
      <c r="B31" s="54">
        <v>17</v>
      </c>
      <c r="C31" s="55"/>
      <c r="D31" s="55"/>
      <c r="E31" s="58"/>
      <c r="F31" s="59"/>
      <c r="G31" s="57"/>
      <c r="H31" s="58"/>
      <c r="I31" s="56"/>
      <c r="J31" s="90"/>
      <c r="K31" s="31"/>
      <c r="L31" s="322"/>
      <c r="M31" s="322"/>
      <c r="N31" s="322"/>
      <c r="O31" s="31"/>
      <c r="P31" s="61"/>
      <c r="Q31" s="61"/>
      <c r="R31" s="61"/>
      <c r="S31" s="61"/>
      <c r="T31" s="61"/>
      <c r="U31" s="61"/>
      <c r="V31" s="61"/>
      <c r="W31" s="61"/>
      <c r="X31" s="61"/>
      <c r="Y31" s="61"/>
      <c r="Z31" s="61"/>
      <c r="AA31" s="61"/>
      <c r="AB31" s="61"/>
      <c r="AC31" s="61"/>
    </row>
    <row r="32" spans="1:29" ht="12.75">
      <c r="A32" s="31"/>
      <c r="B32" s="257">
        <v>18</v>
      </c>
      <c r="C32" s="258"/>
      <c r="D32" s="258"/>
      <c r="E32" s="259"/>
      <c r="F32" s="260"/>
      <c r="G32" s="261"/>
      <c r="H32" s="259"/>
      <c r="I32" s="262"/>
      <c r="J32" s="263"/>
      <c r="K32" s="31"/>
      <c r="L32" s="322"/>
      <c r="M32" s="322"/>
      <c r="N32" s="322"/>
      <c r="O32" s="31"/>
      <c r="P32" s="61"/>
      <c r="Q32" s="61"/>
      <c r="R32" s="61"/>
      <c r="S32" s="61"/>
      <c r="T32" s="61"/>
      <c r="U32" s="61"/>
      <c r="V32" s="61"/>
      <c r="W32" s="61"/>
      <c r="X32" s="61"/>
      <c r="Y32" s="61"/>
      <c r="Z32" s="61"/>
      <c r="AA32" s="61"/>
      <c r="AB32" s="61"/>
      <c r="AC32" s="61"/>
    </row>
    <row r="33" spans="1:29" ht="12.75">
      <c r="A33" s="31"/>
      <c r="B33" s="54">
        <v>19</v>
      </c>
      <c r="C33" s="55"/>
      <c r="D33" s="55"/>
      <c r="E33" s="58"/>
      <c r="F33" s="59"/>
      <c r="G33" s="57"/>
      <c r="H33" s="58"/>
      <c r="I33" s="56"/>
      <c r="J33" s="90"/>
      <c r="K33" s="31"/>
      <c r="L33" s="322"/>
      <c r="M33" s="322"/>
      <c r="N33" s="322"/>
      <c r="O33" s="31"/>
      <c r="P33" s="61"/>
      <c r="Q33" s="61"/>
      <c r="R33" s="61"/>
      <c r="S33" s="61"/>
      <c r="T33" s="61"/>
      <c r="U33" s="61"/>
      <c r="V33" s="61"/>
      <c r="W33" s="61"/>
      <c r="X33" s="61"/>
      <c r="Y33" s="61"/>
      <c r="Z33" s="61"/>
      <c r="AA33" s="61"/>
      <c r="AB33" s="61"/>
      <c r="AC33" s="61"/>
    </row>
    <row r="34" spans="1:29" ht="12.75">
      <c r="A34" s="31"/>
      <c r="B34" s="257">
        <v>20</v>
      </c>
      <c r="C34" s="258"/>
      <c r="D34" s="258"/>
      <c r="E34" s="259"/>
      <c r="F34" s="260"/>
      <c r="G34" s="261"/>
      <c r="H34" s="259"/>
      <c r="I34" s="262"/>
      <c r="J34" s="263"/>
      <c r="K34" s="31"/>
      <c r="L34" s="322"/>
      <c r="M34" s="322"/>
      <c r="N34" s="322"/>
      <c r="O34" s="31"/>
      <c r="P34" s="61"/>
      <c r="Q34" s="61"/>
      <c r="R34" s="61"/>
      <c r="S34" s="61"/>
      <c r="T34" s="61"/>
      <c r="U34" s="61"/>
      <c r="V34" s="61"/>
      <c r="W34" s="61"/>
      <c r="X34" s="61"/>
      <c r="Y34" s="61"/>
      <c r="Z34" s="61"/>
      <c r="AA34" s="61"/>
      <c r="AB34" s="61"/>
      <c r="AC34" s="61"/>
    </row>
    <row r="35" spans="1:29" ht="12.75">
      <c r="A35" s="31"/>
      <c r="B35" s="31"/>
      <c r="C35" s="31"/>
      <c r="D35" s="31"/>
      <c r="E35" s="31"/>
      <c r="F35" s="31"/>
      <c r="G35" s="31"/>
      <c r="H35" s="31"/>
      <c r="I35" s="31"/>
      <c r="J35" s="31"/>
      <c r="K35" s="31"/>
      <c r="L35" s="322"/>
      <c r="M35" s="322"/>
      <c r="N35" s="322"/>
      <c r="O35" s="31"/>
      <c r="P35" s="61"/>
      <c r="Q35" s="61"/>
      <c r="R35" s="61"/>
      <c r="S35" s="61"/>
      <c r="T35" s="61"/>
      <c r="U35" s="61"/>
      <c r="V35" s="61"/>
      <c r="W35" s="61"/>
      <c r="X35" s="61"/>
      <c r="Y35" s="61"/>
      <c r="Z35" s="61"/>
      <c r="AA35" s="61"/>
      <c r="AB35" s="61"/>
      <c r="AC35" s="61"/>
    </row>
    <row r="36" spans="1:29" ht="12.75">
      <c r="A36" s="31"/>
      <c r="B36" s="31"/>
      <c r="C36" s="31"/>
      <c r="D36" s="31"/>
      <c r="E36" s="31"/>
      <c r="F36" s="31"/>
      <c r="G36" s="31"/>
      <c r="H36" s="31"/>
      <c r="I36" s="31"/>
      <c r="J36" s="31"/>
      <c r="K36" s="31"/>
      <c r="L36" s="31"/>
      <c r="M36" s="31"/>
      <c r="N36" s="31"/>
      <c r="O36" s="31"/>
      <c r="P36" s="61"/>
      <c r="Q36" s="61"/>
      <c r="R36" s="61"/>
      <c r="S36" s="61"/>
      <c r="T36" s="61"/>
      <c r="U36" s="61"/>
      <c r="V36" s="61"/>
      <c r="W36" s="61"/>
      <c r="X36" s="61"/>
      <c r="Y36" s="61"/>
      <c r="Z36" s="61"/>
      <c r="AA36" s="61"/>
      <c r="AB36" s="61"/>
      <c r="AC36" s="61"/>
    </row>
    <row r="37" spans="1:29" ht="12.75">
      <c r="A37" s="31"/>
      <c r="B37" s="31"/>
      <c r="C37" s="31"/>
      <c r="D37" s="31"/>
      <c r="E37" s="31"/>
      <c r="F37" s="31"/>
      <c r="G37" s="31"/>
      <c r="H37" s="31"/>
      <c r="I37" s="31"/>
      <c r="J37" s="31"/>
      <c r="K37" s="31"/>
      <c r="L37" s="31"/>
      <c r="M37" s="31"/>
      <c r="N37" s="31"/>
      <c r="O37" s="31"/>
      <c r="P37" s="61"/>
      <c r="Q37" s="61"/>
      <c r="R37" s="61"/>
      <c r="S37" s="61"/>
      <c r="T37" s="61"/>
      <c r="U37" s="61"/>
      <c r="V37" s="61"/>
      <c r="W37" s="61"/>
      <c r="X37" s="61"/>
      <c r="Y37" s="61"/>
      <c r="Z37" s="61"/>
      <c r="AA37" s="61"/>
      <c r="AB37" s="61"/>
      <c r="AC37" s="61"/>
    </row>
    <row r="38" spans="1:15" ht="41.25" customHeight="1">
      <c r="A38" s="61"/>
      <c r="B38" s="64"/>
      <c r="C38" s="321"/>
      <c r="D38" s="321"/>
      <c r="E38" s="60"/>
      <c r="F38" s="60"/>
      <c r="G38" s="60"/>
      <c r="H38" s="61"/>
      <c r="I38" s="65"/>
      <c r="J38" s="61"/>
      <c r="K38" s="61"/>
      <c r="L38" s="61"/>
      <c r="M38" s="61"/>
      <c r="N38" s="61"/>
      <c r="O38" s="61"/>
    </row>
    <row r="39" spans="1:15" ht="20.25" customHeight="1">
      <c r="A39" s="61"/>
      <c r="B39" s="61"/>
      <c r="C39" s="61"/>
      <c r="D39" s="61"/>
      <c r="E39" s="62"/>
      <c r="F39" s="63"/>
      <c r="G39" s="62"/>
      <c r="H39" s="61"/>
      <c r="I39" s="61"/>
      <c r="J39" s="61"/>
      <c r="K39" s="61"/>
      <c r="L39" s="61"/>
      <c r="M39" s="61"/>
      <c r="N39" s="61"/>
      <c r="O39" s="61"/>
    </row>
    <row r="40" spans="1:15" ht="12.75">
      <c r="A40" s="61"/>
      <c r="B40" s="61"/>
      <c r="C40" s="61"/>
      <c r="D40" s="61"/>
      <c r="E40" s="61"/>
      <c r="F40" s="61"/>
      <c r="G40" s="61"/>
      <c r="H40" s="61"/>
      <c r="I40" s="61"/>
      <c r="J40" s="61"/>
      <c r="K40" s="61"/>
      <c r="L40" s="61"/>
      <c r="M40" s="61"/>
      <c r="N40" s="61"/>
      <c r="O40" s="61"/>
    </row>
    <row r="41" spans="1:15" ht="12.75">
      <c r="A41" s="61"/>
      <c r="B41" s="61"/>
      <c r="C41" s="61"/>
      <c r="D41" s="61"/>
      <c r="E41" s="61"/>
      <c r="F41" s="61"/>
      <c r="G41" s="61"/>
      <c r="H41" s="61"/>
      <c r="I41" s="61"/>
      <c r="J41" s="61"/>
      <c r="K41" s="61"/>
      <c r="L41" s="61"/>
      <c r="M41" s="61"/>
      <c r="N41" s="61"/>
      <c r="O41" s="61"/>
    </row>
    <row r="42" spans="1:15" ht="12.75">
      <c r="A42" s="61"/>
      <c r="B42" s="61"/>
      <c r="C42" s="61"/>
      <c r="D42" s="61"/>
      <c r="E42" s="61"/>
      <c r="F42" s="61"/>
      <c r="G42" s="61"/>
      <c r="H42" s="61"/>
      <c r="I42" s="61"/>
      <c r="J42" s="61"/>
      <c r="K42" s="61"/>
      <c r="L42" s="61"/>
      <c r="M42" s="61"/>
      <c r="N42" s="61"/>
      <c r="O42" s="61"/>
    </row>
    <row r="43" spans="1:15" ht="12.75">
      <c r="A43" s="61"/>
      <c r="B43" s="61"/>
      <c r="C43" s="61"/>
      <c r="D43" s="61"/>
      <c r="E43" s="61"/>
      <c r="F43" s="61"/>
      <c r="G43" s="61"/>
      <c r="H43" s="61"/>
      <c r="I43" s="61"/>
      <c r="J43" s="61"/>
      <c r="K43" s="61"/>
      <c r="L43" s="61"/>
      <c r="M43" s="61"/>
      <c r="N43" s="61"/>
      <c r="O43" s="61"/>
    </row>
    <row r="44" spans="1:15" ht="12.75">
      <c r="A44" s="61"/>
      <c r="B44" s="61"/>
      <c r="C44" s="61"/>
      <c r="D44" s="61"/>
      <c r="E44" s="61"/>
      <c r="F44" s="61"/>
      <c r="G44" s="61"/>
      <c r="H44" s="61"/>
      <c r="I44" s="61"/>
      <c r="J44" s="61"/>
      <c r="K44" s="61"/>
      <c r="L44" s="61"/>
      <c r="M44" s="61"/>
      <c r="N44" s="61"/>
      <c r="O44" s="61"/>
    </row>
    <row r="45" spans="1:15" ht="12.75">
      <c r="A45" s="61"/>
      <c r="B45" s="61"/>
      <c r="C45" s="61"/>
      <c r="D45" s="61"/>
      <c r="E45" s="61"/>
      <c r="F45" s="61"/>
      <c r="G45" s="61"/>
      <c r="H45" s="61"/>
      <c r="I45" s="61"/>
      <c r="J45" s="61"/>
      <c r="K45" s="61"/>
      <c r="L45" s="61"/>
      <c r="M45" s="61"/>
      <c r="N45" s="61"/>
      <c r="O45" s="61"/>
    </row>
    <row r="46" spans="1:15" ht="12.75">
      <c r="A46" s="61"/>
      <c r="B46" s="61"/>
      <c r="C46" s="61"/>
      <c r="D46" s="61"/>
      <c r="E46" s="61"/>
      <c r="F46" s="61"/>
      <c r="G46" s="61"/>
      <c r="H46" s="61"/>
      <c r="I46" s="61"/>
      <c r="J46" s="61"/>
      <c r="K46" s="61"/>
      <c r="L46" s="61"/>
      <c r="M46" s="61"/>
      <c r="N46" s="61"/>
      <c r="O46" s="61"/>
    </row>
    <row r="47" spans="1:15" ht="12.75">
      <c r="A47" s="61"/>
      <c r="B47" s="61"/>
      <c r="C47" s="61"/>
      <c r="D47" s="61"/>
      <c r="E47" s="61"/>
      <c r="F47" s="61"/>
      <c r="G47" s="61"/>
      <c r="H47" s="61"/>
      <c r="I47" s="61"/>
      <c r="J47" s="61"/>
      <c r="K47" s="61"/>
      <c r="L47" s="61"/>
      <c r="M47" s="61"/>
      <c r="N47" s="61"/>
      <c r="O47" s="61"/>
    </row>
    <row r="48" spans="1:15" ht="12.75">
      <c r="A48" s="61"/>
      <c r="B48" s="61"/>
      <c r="C48" s="61"/>
      <c r="D48" s="61"/>
      <c r="E48" s="61"/>
      <c r="F48" s="61"/>
      <c r="G48" s="61"/>
      <c r="H48" s="61"/>
      <c r="I48" s="61"/>
      <c r="J48" s="61"/>
      <c r="K48" s="61"/>
      <c r="L48" s="61"/>
      <c r="M48" s="61"/>
      <c r="N48" s="61"/>
      <c r="O48" s="61"/>
    </row>
    <row r="49" spans="1:15" ht="12.75">
      <c r="A49" s="61"/>
      <c r="B49" s="61"/>
      <c r="C49" s="61"/>
      <c r="D49" s="61"/>
      <c r="E49" s="61"/>
      <c r="F49" s="61"/>
      <c r="G49" s="61"/>
      <c r="H49" s="61"/>
      <c r="I49" s="61"/>
      <c r="J49" s="61"/>
      <c r="K49" s="61"/>
      <c r="L49" s="61"/>
      <c r="M49" s="61"/>
      <c r="N49" s="61"/>
      <c r="O49" s="61"/>
    </row>
    <row r="50" spans="1:15" ht="12.75">
      <c r="A50" s="61"/>
      <c r="B50" s="61"/>
      <c r="C50" s="61"/>
      <c r="D50" s="61"/>
      <c r="E50" s="61"/>
      <c r="F50" s="61"/>
      <c r="G50" s="61"/>
      <c r="H50" s="61"/>
      <c r="I50" s="61"/>
      <c r="J50" s="61"/>
      <c r="K50" s="61"/>
      <c r="L50" s="61"/>
      <c r="M50" s="61"/>
      <c r="N50" s="61"/>
      <c r="O50" s="61"/>
    </row>
    <row r="51" spans="1:15" ht="12.75">
      <c r="A51" s="61"/>
      <c r="B51" s="61"/>
      <c r="C51" s="61"/>
      <c r="D51" s="61"/>
      <c r="E51" s="61"/>
      <c r="F51" s="61"/>
      <c r="G51" s="61"/>
      <c r="H51" s="61"/>
      <c r="I51" s="61"/>
      <c r="J51" s="61"/>
      <c r="K51" s="61"/>
      <c r="L51" s="61"/>
      <c r="M51" s="61"/>
      <c r="N51" s="61"/>
      <c r="O51" s="61"/>
    </row>
    <row r="52" spans="1:15" ht="12.75">
      <c r="A52" s="61"/>
      <c r="B52" s="61"/>
      <c r="C52" s="61"/>
      <c r="D52" s="61"/>
      <c r="E52" s="61"/>
      <c r="F52" s="61"/>
      <c r="G52" s="61"/>
      <c r="H52" s="61"/>
      <c r="I52" s="61"/>
      <c r="J52" s="61"/>
      <c r="K52" s="61"/>
      <c r="L52" s="61"/>
      <c r="M52" s="61"/>
      <c r="N52" s="61"/>
      <c r="O52" s="61"/>
    </row>
    <row r="53" spans="1:15" ht="12.75">
      <c r="A53" s="61"/>
      <c r="B53" s="61"/>
      <c r="C53" s="61"/>
      <c r="D53" s="61"/>
      <c r="E53" s="61"/>
      <c r="F53" s="61"/>
      <c r="G53" s="61"/>
      <c r="H53" s="61"/>
      <c r="I53" s="61"/>
      <c r="J53" s="61"/>
      <c r="K53" s="61"/>
      <c r="L53" s="61"/>
      <c r="M53" s="61"/>
      <c r="N53" s="61"/>
      <c r="O53" s="61"/>
    </row>
    <row r="54" spans="1:15" ht="12.75">
      <c r="A54" s="61"/>
      <c r="B54" s="61"/>
      <c r="C54" s="61"/>
      <c r="D54" s="61"/>
      <c r="E54" s="61"/>
      <c r="F54" s="61"/>
      <c r="G54" s="61"/>
      <c r="H54" s="61"/>
      <c r="I54" s="61"/>
      <c r="J54" s="61"/>
      <c r="K54" s="61"/>
      <c r="L54" s="61"/>
      <c r="M54" s="61"/>
      <c r="N54" s="61"/>
      <c r="O54" s="61"/>
    </row>
    <row r="55" spans="1:15" ht="12.75">
      <c r="A55" s="61"/>
      <c r="B55" s="61"/>
      <c r="C55" s="61"/>
      <c r="D55" s="61"/>
      <c r="E55" s="61"/>
      <c r="F55" s="61"/>
      <c r="G55" s="61"/>
      <c r="H55" s="61"/>
      <c r="I55" s="61"/>
      <c r="J55" s="61"/>
      <c r="K55" s="61"/>
      <c r="L55" s="61"/>
      <c r="M55" s="61"/>
      <c r="N55" s="61"/>
      <c r="O55" s="61"/>
    </row>
    <row r="56" spans="1:15" ht="12.75">
      <c r="A56" s="61"/>
      <c r="B56" s="61"/>
      <c r="C56" s="61"/>
      <c r="D56" s="61"/>
      <c r="E56" s="61"/>
      <c r="F56" s="61"/>
      <c r="G56" s="61"/>
      <c r="H56" s="61"/>
      <c r="I56" s="61"/>
      <c r="J56" s="61"/>
      <c r="K56" s="61"/>
      <c r="L56" s="61"/>
      <c r="M56" s="61"/>
      <c r="N56" s="61"/>
      <c r="O56" s="61"/>
    </row>
    <row r="57" spans="1:15" ht="12.75">
      <c r="A57" s="61"/>
      <c r="B57" s="61"/>
      <c r="C57" s="61"/>
      <c r="D57" s="61"/>
      <c r="E57" s="61"/>
      <c r="F57" s="61"/>
      <c r="G57" s="61"/>
      <c r="H57" s="61"/>
      <c r="I57" s="61"/>
      <c r="J57" s="61"/>
      <c r="K57" s="61"/>
      <c r="L57" s="61"/>
      <c r="M57" s="61"/>
      <c r="N57" s="61"/>
      <c r="O57" s="61"/>
    </row>
    <row r="58" spans="1:15" ht="12.75">
      <c r="A58" s="61"/>
      <c r="B58" s="61"/>
      <c r="C58" s="61"/>
      <c r="D58" s="61"/>
      <c r="E58" s="61"/>
      <c r="F58" s="61"/>
      <c r="G58" s="61"/>
      <c r="H58" s="61"/>
      <c r="I58" s="61"/>
      <c r="J58" s="61"/>
      <c r="K58" s="61"/>
      <c r="L58" s="61"/>
      <c r="M58" s="61"/>
      <c r="N58" s="61"/>
      <c r="O58" s="61"/>
    </row>
    <row r="59" spans="1:15" ht="12.75">
      <c r="A59" s="61"/>
      <c r="B59" s="61"/>
      <c r="C59" s="61"/>
      <c r="D59" s="61"/>
      <c r="E59" s="61"/>
      <c r="F59" s="61"/>
      <c r="G59" s="61"/>
      <c r="H59" s="61"/>
      <c r="I59" s="61"/>
      <c r="J59" s="61"/>
      <c r="K59" s="61"/>
      <c r="L59" s="61"/>
      <c r="M59" s="61"/>
      <c r="N59" s="61"/>
      <c r="O59" s="61"/>
    </row>
    <row r="60" spans="1:15" ht="12.75">
      <c r="A60" s="61"/>
      <c r="B60" s="61"/>
      <c r="C60" s="61"/>
      <c r="D60" s="61"/>
      <c r="E60" s="61"/>
      <c r="F60" s="61"/>
      <c r="G60" s="61"/>
      <c r="H60" s="61"/>
      <c r="I60" s="61"/>
      <c r="J60" s="61"/>
      <c r="K60" s="61"/>
      <c r="L60" s="61"/>
      <c r="M60" s="61"/>
      <c r="N60" s="61"/>
      <c r="O60" s="61"/>
    </row>
    <row r="61" spans="1:15" ht="12.75">
      <c r="A61" s="61"/>
      <c r="B61" s="61"/>
      <c r="C61" s="61"/>
      <c r="D61" s="61"/>
      <c r="E61" s="61"/>
      <c r="F61" s="61"/>
      <c r="G61" s="61"/>
      <c r="H61" s="61"/>
      <c r="I61" s="61"/>
      <c r="J61" s="61"/>
      <c r="K61" s="61"/>
      <c r="L61" s="61"/>
      <c r="M61" s="61"/>
      <c r="N61" s="61"/>
      <c r="O61" s="61"/>
    </row>
    <row r="62" spans="1:15" ht="12.75">
      <c r="A62" s="61"/>
      <c r="B62" s="61"/>
      <c r="C62" s="61"/>
      <c r="D62" s="61"/>
      <c r="E62" s="61"/>
      <c r="F62" s="61"/>
      <c r="G62" s="61"/>
      <c r="H62" s="61"/>
      <c r="I62" s="61"/>
      <c r="J62" s="61"/>
      <c r="K62" s="61"/>
      <c r="L62" s="61"/>
      <c r="M62" s="61"/>
      <c r="N62" s="61"/>
      <c r="O62" s="61"/>
    </row>
    <row r="63" spans="1:15" ht="12.75">
      <c r="A63" s="61"/>
      <c r="B63" s="61"/>
      <c r="C63" s="61"/>
      <c r="D63" s="61"/>
      <c r="E63" s="61"/>
      <c r="F63" s="61"/>
      <c r="G63" s="61"/>
      <c r="H63" s="61"/>
      <c r="I63" s="61"/>
      <c r="J63" s="61"/>
      <c r="K63" s="61"/>
      <c r="L63" s="61"/>
      <c r="M63" s="61"/>
      <c r="N63" s="61"/>
      <c r="O63" s="61"/>
    </row>
    <row r="64" spans="1:15" ht="12.75">
      <c r="A64" s="61"/>
      <c r="B64" s="61"/>
      <c r="C64" s="61"/>
      <c r="D64" s="61"/>
      <c r="E64" s="61"/>
      <c r="F64" s="61"/>
      <c r="G64" s="61"/>
      <c r="H64" s="61"/>
      <c r="I64" s="61"/>
      <c r="J64" s="61"/>
      <c r="K64" s="61"/>
      <c r="L64" s="61"/>
      <c r="M64" s="61"/>
      <c r="N64" s="61"/>
      <c r="O64" s="61"/>
    </row>
    <row r="65" spans="1:15" ht="12.75">
      <c r="A65" s="61"/>
      <c r="B65" s="61"/>
      <c r="C65" s="61"/>
      <c r="D65" s="61"/>
      <c r="E65" s="61"/>
      <c r="F65" s="61"/>
      <c r="G65" s="61"/>
      <c r="H65" s="61"/>
      <c r="I65" s="61"/>
      <c r="J65" s="61"/>
      <c r="K65" s="61"/>
      <c r="L65" s="61"/>
      <c r="M65" s="61"/>
      <c r="N65" s="61"/>
      <c r="O65" s="61"/>
    </row>
    <row r="66" spans="1:15" ht="12.75">
      <c r="A66" s="61"/>
      <c r="B66" s="61"/>
      <c r="C66" s="61"/>
      <c r="D66" s="61"/>
      <c r="E66" s="61"/>
      <c r="F66" s="61"/>
      <c r="G66" s="61"/>
      <c r="H66" s="61"/>
      <c r="I66" s="61"/>
      <c r="J66" s="61"/>
      <c r="K66" s="61"/>
      <c r="L66" s="61"/>
      <c r="M66" s="61"/>
      <c r="N66" s="61"/>
      <c r="O66" s="61"/>
    </row>
    <row r="67" spans="1:15" ht="12.75">
      <c r="A67" s="61"/>
      <c r="B67" s="61"/>
      <c r="C67" s="61"/>
      <c r="D67" s="61"/>
      <c r="E67" s="61"/>
      <c r="F67" s="61"/>
      <c r="G67" s="61"/>
      <c r="H67" s="61"/>
      <c r="I67" s="61"/>
      <c r="J67" s="61"/>
      <c r="K67" s="61"/>
      <c r="L67" s="61"/>
      <c r="M67" s="61"/>
      <c r="N67" s="61"/>
      <c r="O67" s="61"/>
    </row>
    <row r="68" spans="1:15" ht="12.75">
      <c r="A68" s="61"/>
      <c r="B68" s="61"/>
      <c r="C68" s="61"/>
      <c r="D68" s="61"/>
      <c r="E68" s="61"/>
      <c r="F68" s="61"/>
      <c r="G68" s="61"/>
      <c r="H68" s="61"/>
      <c r="I68" s="61"/>
      <c r="J68" s="61"/>
      <c r="K68" s="61"/>
      <c r="L68" s="61"/>
      <c r="M68" s="61"/>
      <c r="N68" s="61"/>
      <c r="O68" s="61"/>
    </row>
    <row r="69" spans="1:15" ht="12.75">
      <c r="A69" s="61"/>
      <c r="B69" s="61"/>
      <c r="C69" s="61"/>
      <c r="D69" s="61"/>
      <c r="E69" s="61"/>
      <c r="F69" s="61"/>
      <c r="G69" s="61"/>
      <c r="H69" s="61"/>
      <c r="I69" s="61"/>
      <c r="J69" s="61"/>
      <c r="K69" s="61"/>
      <c r="L69" s="61"/>
      <c r="M69" s="61"/>
      <c r="N69" s="61"/>
      <c r="O69" s="61"/>
    </row>
    <row r="70" spans="1:15" ht="12.75">
      <c r="A70" s="61"/>
      <c r="B70" s="61"/>
      <c r="C70" s="61"/>
      <c r="D70" s="61"/>
      <c r="E70" s="61"/>
      <c r="F70" s="61"/>
      <c r="G70" s="61"/>
      <c r="H70" s="61"/>
      <c r="I70" s="61"/>
      <c r="J70" s="61"/>
      <c r="K70" s="61"/>
      <c r="L70" s="61"/>
      <c r="M70" s="61"/>
      <c r="N70" s="61"/>
      <c r="O70" s="61"/>
    </row>
    <row r="71" spans="1:15" ht="12.75">
      <c r="A71" s="61"/>
      <c r="B71" s="61"/>
      <c r="C71" s="61"/>
      <c r="D71" s="61"/>
      <c r="E71" s="61"/>
      <c r="F71" s="61"/>
      <c r="G71" s="61"/>
      <c r="H71" s="61"/>
      <c r="I71" s="61"/>
      <c r="J71" s="61"/>
      <c r="K71" s="61"/>
      <c r="L71" s="61"/>
      <c r="M71" s="61"/>
      <c r="N71" s="61"/>
      <c r="O71" s="61"/>
    </row>
    <row r="72" spans="1:15" ht="12.75">
      <c r="A72" s="61"/>
      <c r="B72" s="61"/>
      <c r="C72" s="61"/>
      <c r="D72" s="61"/>
      <c r="E72" s="61"/>
      <c r="F72" s="61"/>
      <c r="G72" s="61"/>
      <c r="H72" s="61"/>
      <c r="I72" s="61"/>
      <c r="J72" s="61"/>
      <c r="K72" s="61"/>
      <c r="L72" s="61"/>
      <c r="M72" s="61"/>
      <c r="N72" s="61"/>
      <c r="O72" s="61"/>
    </row>
    <row r="73" spans="1:15" ht="12.75">
      <c r="A73" s="61"/>
      <c r="B73" s="61"/>
      <c r="C73" s="61"/>
      <c r="D73" s="61"/>
      <c r="E73" s="61"/>
      <c r="F73" s="61"/>
      <c r="G73" s="61"/>
      <c r="H73" s="61"/>
      <c r="I73" s="61"/>
      <c r="J73" s="61"/>
      <c r="K73" s="61"/>
      <c r="L73" s="61"/>
      <c r="M73" s="61"/>
      <c r="N73" s="61"/>
      <c r="O73" s="61"/>
    </row>
    <row r="74" spans="1:15" ht="12.75">
      <c r="A74" s="61"/>
      <c r="B74" s="61"/>
      <c r="C74" s="61"/>
      <c r="D74" s="61"/>
      <c r="E74" s="61"/>
      <c r="F74" s="61"/>
      <c r="G74" s="61"/>
      <c r="H74" s="61"/>
      <c r="I74" s="61"/>
      <c r="J74" s="61"/>
      <c r="K74" s="61"/>
      <c r="L74" s="61"/>
      <c r="M74" s="61"/>
      <c r="N74" s="61"/>
      <c r="O74" s="61"/>
    </row>
    <row r="75" spans="1:15" ht="12.75">
      <c r="A75" s="61"/>
      <c r="B75" s="61"/>
      <c r="C75" s="61"/>
      <c r="D75" s="61"/>
      <c r="E75" s="61"/>
      <c r="F75" s="61"/>
      <c r="G75" s="61"/>
      <c r="H75" s="61"/>
      <c r="I75" s="61"/>
      <c r="J75" s="61"/>
      <c r="K75" s="61"/>
      <c r="L75" s="61"/>
      <c r="M75" s="61"/>
      <c r="N75" s="61"/>
      <c r="O75" s="61"/>
    </row>
  </sheetData>
  <sheetProtection password="C889" sheet="1" selectLockedCells="1" selectUnlockedCells="1"/>
  <mergeCells count="12">
    <mergeCell ref="I6:I7"/>
    <mergeCell ref="J6:J7"/>
    <mergeCell ref="B6:B7"/>
    <mergeCell ref="L10:N11"/>
    <mergeCell ref="C38:D38"/>
    <mergeCell ref="L17:N35"/>
    <mergeCell ref="C6:C7"/>
    <mergeCell ref="D6:D7"/>
    <mergeCell ref="E6:E7"/>
    <mergeCell ref="F6:F7"/>
    <mergeCell ref="G6:G7"/>
    <mergeCell ref="H6:H7"/>
  </mergeCells>
  <conditionalFormatting sqref="J15:J34">
    <cfRule type="expression" priority="1" dxfId="1" stopIfTrue="1">
      <formula>$C15=10</formula>
    </cfRule>
  </conditionalFormatting>
  <conditionalFormatting sqref="E39:G39 L15:N15">
    <cfRule type="cellIs" priority="2" dxfId="1" operator="equal" stopIfTrue="1">
      <formula>0</formula>
    </cfRule>
  </conditionalFormatting>
  <conditionalFormatting sqref="F8:I8">
    <cfRule type="cellIs" priority="3" dxfId="1" operator="equal" stopIfTrue="1">
      <formula>0</formula>
    </cfRule>
  </conditionalFormatting>
  <printOptions/>
  <pageMargins left="0.54" right="0.51" top="0.59" bottom="0.5" header="0.41" footer="0.39"/>
  <pageSetup horizontalDpi="600" verticalDpi="600" orientation="landscape" paperSize="9" r:id="rId3"/>
  <ignoredErrors>
    <ignoredError sqref="L15:N15" formulaRange="1"/>
  </ignoredErrors>
  <drawing r:id="rId2"/>
  <legacyDrawing r:id="rId1"/>
</worksheet>
</file>

<file path=xl/worksheets/sheet8.xml><?xml version="1.0" encoding="utf-8"?>
<worksheet xmlns="http://schemas.openxmlformats.org/spreadsheetml/2006/main" xmlns:r="http://schemas.openxmlformats.org/officeDocument/2006/relationships">
  <sheetPr codeName="s9"/>
  <dimension ref="A2:N68"/>
  <sheetViews>
    <sheetView zoomScalePageLayoutView="0" workbookViewId="0" topLeftCell="A1">
      <selection activeCell="G14" sqref="G14"/>
    </sheetView>
  </sheetViews>
  <sheetFormatPr defaultColWidth="9.140625" defaultRowHeight="12.75"/>
  <cols>
    <col min="1" max="1" width="9.7109375" style="0" customWidth="1"/>
    <col min="2" max="2" width="8.7109375" style="0" customWidth="1"/>
    <col min="3" max="3" width="7.140625" style="0" bestFit="1" customWidth="1"/>
    <col min="4" max="4" width="7.8515625" style="0" bestFit="1" customWidth="1"/>
    <col min="5" max="5" width="7.00390625" style="0" bestFit="1" customWidth="1"/>
    <col min="6" max="6" width="8.00390625" style="0" bestFit="1" customWidth="1"/>
    <col min="7" max="7" width="5.57421875" style="0" bestFit="1" customWidth="1"/>
    <col min="8" max="8" width="5.00390625" style="0" bestFit="1" customWidth="1"/>
    <col min="9" max="9" width="6.7109375" style="0" customWidth="1"/>
    <col min="10" max="10" width="6.8515625" style="0" bestFit="1" customWidth="1"/>
    <col min="11" max="11" width="6.7109375" style="0" customWidth="1"/>
    <col min="12" max="14" width="7.00390625" style="0" bestFit="1" customWidth="1"/>
  </cols>
  <sheetData>
    <row r="2" spans="2:10" ht="12.75">
      <c r="B2" s="5" t="s">
        <v>1</v>
      </c>
      <c r="C2" s="5"/>
      <c r="D2" s="5"/>
      <c r="H2" s="5" t="s">
        <v>95</v>
      </c>
      <c r="J2" s="5" t="s">
        <v>145</v>
      </c>
    </row>
    <row r="3" spans="1:10" ht="12.75">
      <c r="A3" s="4">
        <v>1</v>
      </c>
      <c r="B3" s="14">
        <v>300</v>
      </c>
      <c r="G3">
        <v>1</v>
      </c>
      <c r="H3">
        <v>11</v>
      </c>
      <c r="J3" t="b">
        <v>0</v>
      </c>
    </row>
    <row r="4" spans="1:10" ht="12.75">
      <c r="A4" s="4">
        <v>2</v>
      </c>
      <c r="B4" s="2">
        <v>400</v>
      </c>
      <c r="G4">
        <v>2</v>
      </c>
      <c r="H4">
        <v>21</v>
      </c>
      <c r="J4">
        <f>1+4*N(J3)</f>
        <v>1</v>
      </c>
    </row>
    <row r="5" spans="1:8" ht="12.75">
      <c r="A5" s="4">
        <v>3</v>
      </c>
      <c r="B5" s="2">
        <v>500</v>
      </c>
      <c r="G5">
        <v>3</v>
      </c>
      <c r="H5">
        <v>22</v>
      </c>
    </row>
    <row r="6" spans="1:8" ht="12.75">
      <c r="A6" s="4">
        <v>4</v>
      </c>
      <c r="B6" s="2">
        <v>550</v>
      </c>
      <c r="G6">
        <v>4</v>
      </c>
      <c r="H6">
        <v>33</v>
      </c>
    </row>
    <row r="7" spans="1:8" ht="12.75">
      <c r="A7" s="4">
        <v>5</v>
      </c>
      <c r="B7" s="2">
        <v>600</v>
      </c>
      <c r="D7" s="29" t="s">
        <v>67</v>
      </c>
      <c r="E7" s="42">
        <f>(C15-C16)/(C14-C16)</f>
        <v>0.8181818181818182</v>
      </c>
      <c r="G7">
        <v>5</v>
      </c>
      <c r="H7">
        <v>10</v>
      </c>
    </row>
    <row r="8" spans="1:8" ht="12.75">
      <c r="A8" s="4">
        <v>6</v>
      </c>
      <c r="B8" s="2">
        <v>900</v>
      </c>
      <c r="D8" s="43" t="s">
        <v>68</v>
      </c>
      <c r="E8" s="12">
        <f>(C14+C15)/2-C16</f>
        <v>50</v>
      </c>
      <c r="G8">
        <v>6</v>
      </c>
      <c r="H8">
        <v>20</v>
      </c>
    </row>
    <row r="9" spans="1:8" ht="12.75">
      <c r="A9" s="1"/>
      <c r="D9" s="43" t="s">
        <v>69</v>
      </c>
      <c r="E9">
        <f>(C14-C15)/LN((C14-C16)/(C15-C16))</f>
        <v>49.83288654563971</v>
      </c>
      <c r="G9">
        <v>7</v>
      </c>
      <c r="H9">
        <v>30</v>
      </c>
    </row>
    <row r="10" spans="1:8" ht="12.75">
      <c r="A10" s="1" t="s">
        <v>12</v>
      </c>
      <c r="B10">
        <v>4</v>
      </c>
      <c r="G10">
        <v>8</v>
      </c>
      <c r="H10" t="s">
        <v>158</v>
      </c>
    </row>
    <row r="11" spans="1:8" ht="12.75">
      <c r="A11" s="2"/>
      <c r="G11" t="s">
        <v>96</v>
      </c>
      <c r="H11">
        <v>3</v>
      </c>
    </row>
    <row r="12" ht="12.75">
      <c r="J12" t="s">
        <v>154</v>
      </c>
    </row>
    <row r="13" spans="1:14" ht="30" customHeight="1">
      <c r="A13" s="6" t="s">
        <v>2</v>
      </c>
      <c r="B13" s="7"/>
      <c r="C13" s="10" t="s">
        <v>153</v>
      </c>
      <c r="D13" s="46" t="s">
        <v>3</v>
      </c>
      <c r="E13" s="45" t="s">
        <v>4</v>
      </c>
      <c r="F13" s="45" t="s">
        <v>66</v>
      </c>
      <c r="G13" s="67" t="s">
        <v>13</v>
      </c>
      <c r="H13" s="3"/>
      <c r="I13" s="45" t="s">
        <v>4</v>
      </c>
      <c r="J13" s="45" t="s">
        <v>66</v>
      </c>
      <c r="K13" s="67" t="s">
        <v>13</v>
      </c>
      <c r="L13" s="3"/>
      <c r="M13" s="3"/>
      <c r="N13" s="3"/>
    </row>
    <row r="14" spans="1:12" ht="12.75">
      <c r="A14" s="6" t="s">
        <v>6</v>
      </c>
      <c r="B14" s="7"/>
      <c r="C14" s="13">
        <f>'Iné teplotné podmienky'!$D$6</f>
        <v>75</v>
      </c>
      <c r="D14" s="12">
        <v>300</v>
      </c>
      <c r="E14" s="12">
        <v>1.2912</v>
      </c>
      <c r="F14" s="12">
        <v>3.4889</v>
      </c>
      <c r="G14" s="11">
        <f>IF($E$7&lt;0.7,F14*$E$9^E14,F14*$E$8^E14)</f>
        <v>545.0026215826745</v>
      </c>
      <c r="I14" s="86">
        <v>1.279</v>
      </c>
      <c r="J14" s="12">
        <v>3.39756583841796</v>
      </c>
      <c r="K14" s="11">
        <f>IF($E$7&lt;0.7,J14*$E$9^I14,J14*$E$8^I14)</f>
        <v>506</v>
      </c>
      <c r="L14" s="2"/>
    </row>
    <row r="15" spans="1:12" ht="12.75">
      <c r="A15" s="6" t="s">
        <v>7</v>
      </c>
      <c r="B15" s="7"/>
      <c r="C15" s="13">
        <f>'Iné teplotné podmienky'!$D$8</f>
        <v>65</v>
      </c>
      <c r="D15" s="12">
        <v>400</v>
      </c>
      <c r="E15" s="12">
        <v>1.2953</v>
      </c>
      <c r="F15" s="12">
        <v>4.3405</v>
      </c>
      <c r="G15" s="11">
        <f>IF($E$7&lt;0.7,F15*$E$9^E15,F15*$E$8^E15)</f>
        <v>688.9942653164278</v>
      </c>
      <c r="I15" s="86">
        <v>1.2797</v>
      </c>
      <c r="J15" s="12">
        <v>4.178425614435479</v>
      </c>
      <c r="K15" s="11">
        <f>IF($E$7&lt;0.7,J15*$E$9^I15,J15*$E$8^I15)</f>
        <v>624</v>
      </c>
      <c r="L15" s="2"/>
    </row>
    <row r="16" spans="1:12" ht="12.75">
      <c r="A16" s="6" t="s">
        <v>8</v>
      </c>
      <c r="B16" s="7"/>
      <c r="C16" s="13">
        <f>'Iné teplotné podmienky'!$D$9</f>
        <v>20</v>
      </c>
      <c r="D16" s="12">
        <v>500</v>
      </c>
      <c r="E16" s="12">
        <v>1.2994</v>
      </c>
      <c r="F16" s="12">
        <v>5.1208</v>
      </c>
      <c r="G16" s="11">
        <f>IF($E$7&lt;0.7,F16*$E$9^E16,F16*$E$8^E16)</f>
        <v>825.9988407742514</v>
      </c>
      <c r="I16" s="86">
        <v>1.2804</v>
      </c>
      <c r="J16" s="12">
        <v>4.948311311311136</v>
      </c>
      <c r="K16" s="11">
        <f>IF($E$7&lt;0.7,J16*$E$9^I16,J16*$E$8^I16)</f>
        <v>741</v>
      </c>
      <c r="L16" s="2"/>
    </row>
    <row r="17" spans="1:12" ht="12.75">
      <c r="A17" s="6"/>
      <c r="B17" s="7"/>
      <c r="C17" s="13"/>
      <c r="D17" s="12">
        <v>550</v>
      </c>
      <c r="E17" s="12"/>
      <c r="F17" s="12"/>
      <c r="G17" s="11"/>
      <c r="I17" s="86">
        <v>1</v>
      </c>
      <c r="J17" s="12"/>
      <c r="K17" s="11"/>
      <c r="L17" s="2"/>
    </row>
    <row r="18" spans="1:12" ht="12.75">
      <c r="A18" s="7"/>
      <c r="B18" s="7"/>
      <c r="C18" s="7"/>
      <c r="D18" s="12">
        <v>600</v>
      </c>
      <c r="E18" s="12">
        <v>1.3035</v>
      </c>
      <c r="F18" s="12">
        <v>5.8568</v>
      </c>
      <c r="G18" s="11">
        <f>IF($E$7&lt;0.7,F18*$E$9^E18,F18*$E$8^E18)</f>
        <v>959.9923991955327</v>
      </c>
      <c r="I18" s="86">
        <v>1.2811</v>
      </c>
      <c r="J18" s="12">
        <v>5.727274235838817</v>
      </c>
      <c r="K18" s="11">
        <f>IF($E$7&lt;0.7,J18*$E$9^I18,J18*$E$8^I18)</f>
        <v>860</v>
      </c>
      <c r="L18" s="2"/>
    </row>
    <row r="19" spans="1:12" ht="12.75" customHeight="1">
      <c r="A19" s="8"/>
      <c r="B19" s="7"/>
      <c r="C19" s="7"/>
      <c r="D19" s="12">
        <v>900</v>
      </c>
      <c r="E19" s="12">
        <v>1.3237</v>
      </c>
      <c r="F19" s="12">
        <v>7.5822</v>
      </c>
      <c r="G19" s="11">
        <f>IF($E$7&lt;0.7,F19*$E$9^E19,F19*$E$8^E19)</f>
        <v>1344.9985948252333</v>
      </c>
      <c r="I19" s="86">
        <v>1.2732</v>
      </c>
      <c r="J19" s="12">
        <v>8.49652011879567</v>
      </c>
      <c r="K19" s="11">
        <f>IF($E$7&lt;0.7,J19*$E$9^I19,J19*$E$8^I19)</f>
        <v>1237</v>
      </c>
      <c r="L19" s="2"/>
    </row>
    <row r="20" spans="1:3" ht="12.75">
      <c r="A20" s="6" t="s">
        <v>5</v>
      </c>
      <c r="B20" s="7"/>
      <c r="C20" s="10"/>
    </row>
    <row r="21" spans="1:12" ht="12.75">
      <c r="A21" s="6" t="s">
        <v>6</v>
      </c>
      <c r="B21" s="7"/>
      <c r="C21" s="13">
        <f>'Iné teplotné podmienky'!$D$6</f>
        <v>75</v>
      </c>
      <c r="D21" s="12">
        <v>300</v>
      </c>
      <c r="E21" s="12">
        <v>1.3239</v>
      </c>
      <c r="F21" s="12">
        <v>4.236</v>
      </c>
      <c r="G21" s="11">
        <f aca="true" t="shared" si="0" ref="G21:G26">IF($E$7&lt;0.7,F21*$E$9^E21,F21*$E$8^E21)</f>
        <v>752.007791268445</v>
      </c>
      <c r="I21" s="12">
        <v>1.3015</v>
      </c>
      <c r="J21" s="12">
        <v>4.283148279989495</v>
      </c>
      <c r="K21" s="11">
        <f aca="true" t="shared" si="1" ref="K21:K26">IF($E$7&lt;0.7,J21*$E$9^I21,J21*$E$8^I21)</f>
        <v>696.5825171318795</v>
      </c>
      <c r="L21" s="2"/>
    </row>
    <row r="22" spans="1:12" ht="12.75">
      <c r="A22" s="6" t="s">
        <v>7</v>
      </c>
      <c r="B22" s="7"/>
      <c r="C22" s="13">
        <f>'Iné teplotné podmienky'!$D$8</f>
        <v>65</v>
      </c>
      <c r="D22" s="12">
        <v>400</v>
      </c>
      <c r="E22" s="12">
        <v>1.3338</v>
      </c>
      <c r="F22" s="12">
        <v>5.0775</v>
      </c>
      <c r="G22" s="11">
        <f t="shared" si="0"/>
        <v>936.9925198408346</v>
      </c>
      <c r="I22" s="12">
        <v>1.3114</v>
      </c>
      <c r="J22" s="12">
        <v>5.058668584194209</v>
      </c>
      <c r="K22" s="11">
        <f t="shared" si="1"/>
        <v>855.1956663962093</v>
      </c>
      <c r="L22" s="2"/>
    </row>
    <row r="23" spans="1:12" ht="12.75">
      <c r="A23" s="6" t="s">
        <v>8</v>
      </c>
      <c r="B23" s="7"/>
      <c r="C23" s="13">
        <f>'Iné teplotné podmienky'!$D$9</f>
        <v>20</v>
      </c>
      <c r="D23" s="12">
        <v>500</v>
      </c>
      <c r="E23" s="12">
        <v>1.3437</v>
      </c>
      <c r="F23" s="12">
        <v>5.8126</v>
      </c>
      <c r="G23" s="11">
        <f t="shared" si="0"/>
        <v>1115.004017983483</v>
      </c>
      <c r="I23" s="12">
        <v>1.3213</v>
      </c>
      <c r="J23" s="12">
        <v>5.725040294232952</v>
      </c>
      <c r="K23" s="11">
        <f t="shared" si="1"/>
        <v>1006.0686458687255</v>
      </c>
      <c r="L23" s="2"/>
    </row>
    <row r="24" spans="1:12" ht="12.75">
      <c r="A24" s="6"/>
      <c r="B24" s="7"/>
      <c r="C24" s="13"/>
      <c r="D24" s="12">
        <v>550</v>
      </c>
      <c r="E24" s="12">
        <v>1.3413</v>
      </c>
      <c r="F24" s="12">
        <v>6.357767124586206</v>
      </c>
      <c r="G24" s="11">
        <f t="shared" si="0"/>
        <v>1208.1840085456754</v>
      </c>
      <c r="I24" s="12">
        <v>1.3266</v>
      </c>
      <c r="J24" s="12">
        <v>6.049593800703611</v>
      </c>
      <c r="K24" s="11">
        <f t="shared" si="1"/>
        <v>1085.3750217393392</v>
      </c>
      <c r="L24" s="2"/>
    </row>
    <row r="25" spans="4:12" ht="12.75">
      <c r="D25" s="12">
        <v>600</v>
      </c>
      <c r="E25" s="12">
        <v>1.3536</v>
      </c>
      <c r="F25" s="12">
        <v>6.4543</v>
      </c>
      <c r="G25" s="11">
        <f t="shared" si="0"/>
        <v>1286.989328114446</v>
      </c>
      <c r="I25" s="12">
        <v>1.3312</v>
      </c>
      <c r="J25" s="12">
        <v>6.3066646943945</v>
      </c>
      <c r="K25" s="11">
        <f t="shared" si="1"/>
        <v>1152.042792753547</v>
      </c>
      <c r="L25" s="2"/>
    </row>
    <row r="26" spans="4:12" ht="12.75">
      <c r="D26" s="12">
        <v>900</v>
      </c>
      <c r="E26" s="12">
        <v>1.3507</v>
      </c>
      <c r="F26" s="12">
        <v>9.0692</v>
      </c>
      <c r="G26" s="11">
        <f t="shared" si="0"/>
        <v>1788.0010282231096</v>
      </c>
      <c r="I26" s="12">
        <v>1.3369</v>
      </c>
      <c r="J26" s="12">
        <v>8.433544812298672</v>
      </c>
      <c r="K26" s="11">
        <f t="shared" si="1"/>
        <v>1575.2995745951334</v>
      </c>
      <c r="L26" s="2"/>
    </row>
    <row r="27" spans="1:3" ht="12.75">
      <c r="A27" s="6" t="s">
        <v>9</v>
      </c>
      <c r="B27" s="7"/>
      <c r="C27" s="10"/>
    </row>
    <row r="28" spans="1:12" ht="12.75">
      <c r="A28" s="6" t="s">
        <v>6</v>
      </c>
      <c r="B28" s="7"/>
      <c r="C28" s="13">
        <f>'Iné teplotné podmienky'!$D$6</f>
        <v>75</v>
      </c>
      <c r="D28" s="12">
        <v>300</v>
      </c>
      <c r="E28">
        <v>1.3087</v>
      </c>
      <c r="F28">
        <v>5.8764</v>
      </c>
      <c r="G28" s="11">
        <f aca="true" t="shared" si="2" ref="G28:G33">IF($E$7&lt;0.7,F28*$E$9^E28,F28*$E$8^E28)</f>
        <v>982.9997213891189</v>
      </c>
      <c r="I28">
        <v>1.3011</v>
      </c>
      <c r="J28">
        <v>5.620030257387689</v>
      </c>
      <c r="K28" s="11">
        <f aca="true" t="shared" si="3" ref="K28:K33">IF($E$7&lt;0.7,J28*$E$9^I28,J28*$E$8^I28)</f>
        <v>912.5749144648702</v>
      </c>
      <c r="L28" s="2"/>
    </row>
    <row r="29" spans="1:12" ht="12.75">
      <c r="A29" s="6" t="s">
        <v>7</v>
      </c>
      <c r="B29" s="7"/>
      <c r="C29" s="13">
        <f>'Iné teplotné podmienky'!$D$8</f>
        <v>65</v>
      </c>
      <c r="D29" s="12">
        <v>400</v>
      </c>
      <c r="E29">
        <v>1.3168</v>
      </c>
      <c r="F29">
        <v>7.141</v>
      </c>
      <c r="G29" s="11">
        <f t="shared" si="2"/>
        <v>1232.9990295682387</v>
      </c>
      <c r="I29">
        <v>1.3052</v>
      </c>
      <c r="J29">
        <v>6.944782443413136</v>
      </c>
      <c r="K29" s="11">
        <f t="shared" si="3"/>
        <v>1145.9199884811435</v>
      </c>
      <c r="L29" s="2"/>
    </row>
    <row r="30" spans="1:12" ht="12.75">
      <c r="A30" s="6" t="s">
        <v>8</v>
      </c>
      <c r="B30" s="7"/>
      <c r="C30" s="13">
        <f>'Iné teplotné podmienky'!$D$9</f>
        <v>20</v>
      </c>
      <c r="D30" s="12">
        <v>500</v>
      </c>
      <c r="E30">
        <v>1.325</v>
      </c>
      <c r="F30">
        <v>8.2448</v>
      </c>
      <c r="G30" s="11">
        <f t="shared" si="2"/>
        <v>1469.9933865015385</v>
      </c>
      <c r="I30">
        <v>1.3092</v>
      </c>
      <c r="J30">
        <v>8.138720580557619</v>
      </c>
      <c r="K30" s="11">
        <f t="shared" si="3"/>
        <v>1364.1045834282465</v>
      </c>
      <c r="L30" s="2"/>
    </row>
    <row r="31" spans="1:12" ht="12.75">
      <c r="A31" s="6"/>
      <c r="B31" s="7"/>
      <c r="C31" s="13"/>
      <c r="D31" s="12">
        <v>550</v>
      </c>
      <c r="E31">
        <v>1.3249</v>
      </c>
      <c r="F31">
        <v>8.943078074110788</v>
      </c>
      <c r="G31" s="11">
        <f t="shared" si="2"/>
        <v>1593.8681084283717</v>
      </c>
      <c r="I31">
        <v>1.3114</v>
      </c>
      <c r="J31">
        <v>8.734652269758518</v>
      </c>
      <c r="K31" s="11">
        <f t="shared" si="3"/>
        <v>1476.6408678984772</v>
      </c>
      <c r="L31" s="2"/>
    </row>
    <row r="32" spans="4:12" ht="12.75">
      <c r="D32" s="12">
        <v>600</v>
      </c>
      <c r="E32">
        <v>1.3331</v>
      </c>
      <c r="F32">
        <v>9.2266</v>
      </c>
      <c r="G32" s="11">
        <f t="shared" si="2"/>
        <v>1698.0035968546224</v>
      </c>
      <c r="I32">
        <v>1.3133</v>
      </c>
      <c r="J32">
        <v>9.217519153641343</v>
      </c>
      <c r="K32" s="11">
        <f t="shared" si="3"/>
        <v>1569.8977080597676</v>
      </c>
      <c r="L32" s="2"/>
    </row>
    <row r="33" spans="4:12" ht="12.75">
      <c r="D33" s="12">
        <v>900</v>
      </c>
      <c r="E33">
        <v>1.3348</v>
      </c>
      <c r="F33">
        <v>12.674</v>
      </c>
      <c r="G33" s="11">
        <f t="shared" si="2"/>
        <v>2348.0041738057566</v>
      </c>
      <c r="I33">
        <v>1.3199</v>
      </c>
      <c r="J33">
        <v>12.179318650689272</v>
      </c>
      <c r="K33" s="11">
        <f t="shared" si="3"/>
        <v>2128.597275320575</v>
      </c>
      <c r="L33" s="2"/>
    </row>
    <row r="34" spans="1:3" ht="12.75">
      <c r="A34" s="6" t="s">
        <v>10</v>
      </c>
      <c r="B34" s="7"/>
      <c r="C34" s="10"/>
    </row>
    <row r="35" spans="1:12" ht="12.75">
      <c r="A35" s="6" t="s">
        <v>6</v>
      </c>
      <c r="B35" s="7"/>
      <c r="C35" s="13">
        <f>'Iné teplotné podmienky'!$D$6</f>
        <v>75</v>
      </c>
      <c r="D35" s="12">
        <v>300</v>
      </c>
      <c r="E35">
        <v>1.3005</v>
      </c>
      <c r="F35">
        <v>8.568</v>
      </c>
      <c r="G35" s="11">
        <f aca="true" t="shared" si="4" ref="G35:G40">IF($E$7&lt;0.7,F35*$E$9^E35,F35*$E$8^E35)</f>
        <v>1388.0015415664025</v>
      </c>
      <c r="I35" s="86">
        <v>1.3022</v>
      </c>
      <c r="J35">
        <v>7.97123792041286</v>
      </c>
      <c r="K35" s="11">
        <f aca="true" t="shared" si="5" ref="K35:K40">IF($E$7&lt;0.7,J35*$E$9^I35,J35*$E$8^I35)</f>
        <v>1299.9436039352972</v>
      </c>
      <c r="L35" s="2"/>
    </row>
    <row r="36" spans="1:12" ht="12.75">
      <c r="A36" s="6" t="s">
        <v>7</v>
      </c>
      <c r="B36" s="7"/>
      <c r="C36" s="13">
        <f>'Iné teplotné podmienky'!$D$8</f>
        <v>65</v>
      </c>
      <c r="D36" s="12">
        <v>400</v>
      </c>
      <c r="E36">
        <v>1.3151</v>
      </c>
      <c r="F36">
        <v>10.2087</v>
      </c>
      <c r="G36" s="11">
        <f t="shared" si="4"/>
        <v>1750.998984545985</v>
      </c>
      <c r="I36" s="86">
        <v>1.307</v>
      </c>
      <c r="J36">
        <v>9.831329078845508</v>
      </c>
      <c r="K36" s="11">
        <f t="shared" si="5"/>
        <v>1633.6763760109097</v>
      </c>
      <c r="L36" s="2"/>
    </row>
    <row r="37" spans="1:12" ht="12.75">
      <c r="A37" s="6" t="s">
        <v>8</v>
      </c>
      <c r="B37" s="7"/>
      <c r="C37" s="13">
        <f>'Iné teplotné podmienky'!$D$9</f>
        <v>20</v>
      </c>
      <c r="D37" s="12">
        <v>500</v>
      </c>
      <c r="E37">
        <v>1.3298</v>
      </c>
      <c r="F37">
        <v>11.5097</v>
      </c>
      <c r="G37" s="11">
        <f t="shared" si="4"/>
        <v>2091.00136185182</v>
      </c>
      <c r="I37" s="86">
        <v>1.3117</v>
      </c>
      <c r="J37">
        <v>11.524203699327282</v>
      </c>
      <c r="K37" s="11">
        <f t="shared" si="5"/>
        <v>1950.5176334485404</v>
      </c>
      <c r="L37" s="2"/>
    </row>
    <row r="38" spans="1:12" ht="12.75">
      <c r="A38" s="6"/>
      <c r="B38" s="7"/>
      <c r="C38" s="13"/>
      <c r="D38" s="12">
        <v>550</v>
      </c>
      <c r="E38">
        <v>1.3357</v>
      </c>
      <c r="F38">
        <v>12.182992351447862</v>
      </c>
      <c r="G38" s="11">
        <f t="shared" si="4"/>
        <v>2265</v>
      </c>
      <c r="I38">
        <v>1.3143</v>
      </c>
      <c r="J38">
        <v>12.375920817405202</v>
      </c>
      <c r="K38" s="11">
        <f t="shared" si="5"/>
        <v>2116.0883622592055</v>
      </c>
      <c r="L38" s="2"/>
    </row>
    <row r="39" spans="4:12" ht="12.75">
      <c r="D39" s="12">
        <v>600</v>
      </c>
      <c r="E39">
        <v>1.3444</v>
      </c>
      <c r="F39">
        <v>12.5291</v>
      </c>
      <c r="G39" s="11">
        <f t="shared" si="4"/>
        <v>2409.989494175986</v>
      </c>
      <c r="I39" s="86">
        <v>1.3165</v>
      </c>
      <c r="J39">
        <v>13.072578932485275</v>
      </c>
      <c r="K39" s="11">
        <f t="shared" si="5"/>
        <v>2254.526183695906</v>
      </c>
      <c r="L39" s="2"/>
    </row>
    <row r="40" spans="4:12" ht="12.75">
      <c r="D40" s="12">
        <v>900</v>
      </c>
      <c r="E40">
        <v>1.358</v>
      </c>
      <c r="F40">
        <v>16.1045</v>
      </c>
      <c r="G40" s="11">
        <f t="shared" si="4"/>
        <v>3266.995314513267</v>
      </c>
      <c r="I40" s="86">
        <v>1.3346</v>
      </c>
      <c r="J40">
        <v>16.808408219546873</v>
      </c>
      <c r="K40" s="11">
        <f t="shared" si="5"/>
        <v>3111.515400407707</v>
      </c>
      <c r="L40" s="2"/>
    </row>
    <row r="41" spans="1:3" ht="12.75">
      <c r="A41" s="6" t="s">
        <v>16</v>
      </c>
      <c r="B41" s="7"/>
      <c r="C41" s="10"/>
    </row>
    <row r="42" spans="1:12" ht="12.75">
      <c r="A42" s="6" t="s">
        <v>6</v>
      </c>
      <c r="B42" s="7"/>
      <c r="C42" s="13">
        <f>'Iné teplotné podmienky'!$D$6</f>
        <v>75</v>
      </c>
      <c r="D42" s="12">
        <v>300</v>
      </c>
      <c r="E42">
        <v>1.3187</v>
      </c>
      <c r="F42">
        <v>1.966</v>
      </c>
      <c r="G42" s="11">
        <f aca="true" t="shared" si="6" ref="G42:G47">IF($E$7&lt;0.7,F42*$E$9^E42,F42*$E$8^E42)</f>
        <v>341.9914576034861</v>
      </c>
      <c r="I42" s="86">
        <v>1.269</v>
      </c>
      <c r="J42">
        <v>2.206450288051308</v>
      </c>
      <c r="K42" s="11">
        <f aca="true" t="shared" si="7" ref="K42:K47">IF($E$7&lt;0.7,J42*$E$9^I42,J42*$E$8^I42)</f>
        <v>316</v>
      </c>
      <c r="L42" s="2"/>
    </row>
    <row r="43" spans="1:12" ht="12.75">
      <c r="A43" s="6" t="s">
        <v>7</v>
      </c>
      <c r="B43" s="7"/>
      <c r="C43" s="13">
        <f>'Iné teplotné podmienky'!$D$8</f>
        <v>65</v>
      </c>
      <c r="D43" s="12">
        <v>400</v>
      </c>
      <c r="E43">
        <v>1.3072</v>
      </c>
      <c r="F43">
        <v>2.6638</v>
      </c>
      <c r="G43" s="11">
        <f t="shared" si="6"/>
        <v>442.9913072891378</v>
      </c>
      <c r="I43" s="86">
        <v>1.2674</v>
      </c>
      <c r="J43">
        <v>2.803485486959059</v>
      </c>
      <c r="K43" s="11">
        <f t="shared" si="7"/>
        <v>399</v>
      </c>
      <c r="L43" s="2"/>
    </row>
    <row r="44" spans="1:12" ht="12.75">
      <c r="A44" s="6" t="s">
        <v>8</v>
      </c>
      <c r="B44" s="7"/>
      <c r="C44" s="13">
        <f>'Iné teplotné podmienky'!$D$9</f>
        <v>20</v>
      </c>
      <c r="D44" s="12">
        <v>500</v>
      </c>
      <c r="E44">
        <v>1.2958</v>
      </c>
      <c r="F44">
        <v>3.3701</v>
      </c>
      <c r="G44" s="11">
        <f t="shared" si="6"/>
        <v>536.0041094621001</v>
      </c>
      <c r="I44" s="86">
        <v>1.2657</v>
      </c>
      <c r="J44">
        <v>3.3668255807261973</v>
      </c>
      <c r="K44" s="11">
        <f t="shared" si="7"/>
        <v>476</v>
      </c>
      <c r="L44" s="2"/>
    </row>
    <row r="45" spans="1:12" ht="12.75">
      <c r="A45" s="6"/>
      <c r="B45" s="7"/>
      <c r="C45" s="13"/>
      <c r="D45" s="12">
        <v>550</v>
      </c>
      <c r="E45">
        <v>1.31447376</v>
      </c>
      <c r="F45">
        <v>3.407153194164372</v>
      </c>
      <c r="G45" s="11">
        <f t="shared" si="6"/>
        <v>582.9658984136947</v>
      </c>
      <c r="I45" s="86">
        <v>1.2649</v>
      </c>
      <c r="J45">
        <v>3.65409698992756</v>
      </c>
      <c r="K45" s="11">
        <f t="shared" si="7"/>
        <v>515</v>
      </c>
      <c r="L45" s="2"/>
    </row>
    <row r="46" spans="4:12" ht="12.75">
      <c r="D46" s="12">
        <v>600</v>
      </c>
      <c r="E46">
        <v>1.2843</v>
      </c>
      <c r="F46">
        <v>4.0842</v>
      </c>
      <c r="G46" s="11">
        <f t="shared" si="6"/>
        <v>621.0036854209553</v>
      </c>
      <c r="I46" s="86">
        <v>1.2641</v>
      </c>
      <c r="J46">
        <v>3.900430789128174</v>
      </c>
      <c r="K46" s="11">
        <f t="shared" si="7"/>
        <v>548</v>
      </c>
      <c r="L46" s="2"/>
    </row>
    <row r="47" spans="4:12" ht="12.75">
      <c r="D47" s="12">
        <v>900</v>
      </c>
      <c r="E47">
        <v>1.3216</v>
      </c>
      <c r="F47">
        <v>4.7119</v>
      </c>
      <c r="G47" s="11">
        <f t="shared" si="6"/>
        <v>829.0005575456001</v>
      </c>
      <c r="I47" s="86">
        <v>1.2757</v>
      </c>
      <c r="J47">
        <v>4.999324239439599</v>
      </c>
      <c r="K47" s="11">
        <f t="shared" si="7"/>
        <v>735</v>
      </c>
      <c r="L47" s="2"/>
    </row>
    <row r="48" spans="1:3" ht="12.75">
      <c r="A48" s="6" t="s">
        <v>11</v>
      </c>
      <c r="B48" s="7"/>
      <c r="C48" s="10"/>
    </row>
    <row r="49" spans="1:12" ht="12.75">
      <c r="A49" s="6" t="s">
        <v>6</v>
      </c>
      <c r="B49" s="7"/>
      <c r="C49" s="13">
        <f>'Iné teplotné podmienky'!$D$6</f>
        <v>75</v>
      </c>
      <c r="D49" s="12">
        <v>300</v>
      </c>
      <c r="E49" s="106">
        <v>1.263</v>
      </c>
      <c r="F49">
        <v>3.99588234555821</v>
      </c>
      <c r="G49" s="11">
        <f aca="true" t="shared" si="8" ref="G49:G54">IF($E$7&lt;0.7,F49*$E$9^E49,F49*$E$8^E49)</f>
        <v>559</v>
      </c>
      <c r="I49">
        <v>1.2547</v>
      </c>
      <c r="J49">
        <v>3.770974610438571</v>
      </c>
      <c r="K49" s="11">
        <f aca="true" t="shared" si="9" ref="K49:K54">IF($E$7&lt;0.7,J49*$E$9^I49,J49*$E$8^I49)</f>
        <v>510.68284927874106</v>
      </c>
      <c r="L49" s="2"/>
    </row>
    <row r="50" spans="1:12" ht="12.75">
      <c r="A50" s="6" t="s">
        <v>7</v>
      </c>
      <c r="B50" s="7"/>
      <c r="C50" s="13">
        <f>'Iné teplotné podmienky'!$D$8</f>
        <v>65</v>
      </c>
      <c r="D50" s="12">
        <v>400</v>
      </c>
      <c r="E50" s="107">
        <v>1.2693</v>
      </c>
      <c r="F50">
        <v>4.861050709765689</v>
      </c>
      <c r="G50" s="11">
        <f t="shared" si="8"/>
        <v>697</v>
      </c>
      <c r="I50">
        <v>1.2595</v>
      </c>
      <c r="J50">
        <v>4.67216397226752</v>
      </c>
      <c r="K50" s="11">
        <f t="shared" si="9"/>
        <v>644.7194861805283</v>
      </c>
      <c r="L50" s="2"/>
    </row>
    <row r="51" spans="1:12" ht="12.75">
      <c r="A51" s="6" t="s">
        <v>8</v>
      </c>
      <c r="B51" s="7"/>
      <c r="C51" s="13">
        <f>'Iné teplotné podmienky'!$D$9</f>
        <v>20</v>
      </c>
      <c r="D51" s="12">
        <v>500</v>
      </c>
      <c r="E51" s="106">
        <v>1.2755</v>
      </c>
      <c r="F51">
        <v>5.663528440690109</v>
      </c>
      <c r="G51" s="11">
        <f t="shared" si="8"/>
        <v>832</v>
      </c>
      <c r="I51">
        <v>1.2642</v>
      </c>
      <c r="J51">
        <v>5.492928216729248</v>
      </c>
      <c r="K51" s="11">
        <f t="shared" si="9"/>
        <v>772.0435571418875</v>
      </c>
      <c r="L51" s="2"/>
    </row>
    <row r="52" spans="1:12" ht="12.75">
      <c r="A52" s="6"/>
      <c r="B52" s="7"/>
      <c r="C52" s="13"/>
      <c r="D52" s="12">
        <v>550</v>
      </c>
      <c r="E52" s="106">
        <v>1.2776</v>
      </c>
      <c r="F52">
        <v>6.103294874147058</v>
      </c>
      <c r="G52" s="11">
        <f t="shared" si="8"/>
        <v>904</v>
      </c>
      <c r="I52">
        <v>1.2668</v>
      </c>
      <c r="J52">
        <v>5.905729271899769</v>
      </c>
      <c r="K52" s="11">
        <f t="shared" si="9"/>
        <v>838.549560824283</v>
      </c>
      <c r="L52" s="2"/>
    </row>
    <row r="53" spans="4:12" ht="12.75">
      <c r="D53" s="12">
        <v>600</v>
      </c>
      <c r="E53" s="106">
        <v>1.2818</v>
      </c>
      <c r="F53">
        <v>6.415601420244847</v>
      </c>
      <c r="G53" s="11">
        <f t="shared" si="8"/>
        <v>966</v>
      </c>
      <c r="I53">
        <v>1.269</v>
      </c>
      <c r="J53">
        <v>6.24315972402152</v>
      </c>
      <c r="K53" s="11">
        <f t="shared" si="9"/>
        <v>894.123236528103</v>
      </c>
      <c r="L53" s="2"/>
    </row>
    <row r="54" spans="4:12" ht="12.75">
      <c r="D54" s="12">
        <v>900</v>
      </c>
      <c r="E54" s="106">
        <v>1.3094</v>
      </c>
      <c r="F54">
        <v>8.161540206658673</v>
      </c>
      <c r="G54" s="11">
        <f t="shared" si="8"/>
        <v>1369.0000000000002</v>
      </c>
      <c r="I54">
        <v>1.2956</v>
      </c>
      <c r="J54">
        <v>7.783310604940304</v>
      </c>
      <c r="K54" s="11">
        <f t="shared" si="9"/>
        <v>1236.9436049051178</v>
      </c>
      <c r="L54" s="2"/>
    </row>
    <row r="55" spans="1:3" ht="12.75">
      <c r="A55" s="6" t="s">
        <v>17</v>
      </c>
      <c r="B55" s="7"/>
      <c r="C55" s="10"/>
    </row>
    <row r="56" spans="1:12" ht="12.75">
      <c r="A56" s="6" t="s">
        <v>6</v>
      </c>
      <c r="B56" s="7"/>
      <c r="C56" s="13">
        <f>'Iné teplotné podmienky'!$D$6</f>
        <v>75</v>
      </c>
      <c r="D56" s="12">
        <v>300</v>
      </c>
      <c r="E56">
        <v>1.2831</v>
      </c>
      <c r="F56">
        <v>5.4712</v>
      </c>
      <c r="G56" s="11">
        <f aca="true" t="shared" si="10" ref="G56:G61">IF($E$7&lt;0.7,F56*$E$9^E56,F56*$E$8^E56)</f>
        <v>828.0012707171276</v>
      </c>
      <c r="I56">
        <v>1.2911</v>
      </c>
      <c r="J56">
        <v>5.026989676998801</v>
      </c>
      <c r="K56" s="11">
        <f aca="true" t="shared" si="11" ref="K56:K61">IF($E$7&lt;0.7,J56*$E$9^I56,J56*$E$8^I56)</f>
        <v>784.9611558035899</v>
      </c>
      <c r="L56" s="2"/>
    </row>
    <row r="57" spans="1:12" ht="12.75">
      <c r="A57" s="6" t="s">
        <v>7</v>
      </c>
      <c r="B57" s="7"/>
      <c r="C57" s="13">
        <f>'Iné teplotné podmienky'!$D$8</f>
        <v>65</v>
      </c>
      <c r="D57" s="12">
        <v>400</v>
      </c>
      <c r="E57">
        <v>1.2939</v>
      </c>
      <c r="F57">
        <v>6.6131</v>
      </c>
      <c r="G57" s="11">
        <f t="shared" si="10"/>
        <v>1044.0045190567105</v>
      </c>
      <c r="I57">
        <v>1.293</v>
      </c>
      <c r="J57">
        <v>6.2407351688192225</v>
      </c>
      <c r="K57" s="11">
        <f t="shared" si="11"/>
        <v>981.756914998157</v>
      </c>
      <c r="L57" s="2"/>
    </row>
    <row r="58" spans="1:12" ht="12.75">
      <c r="A58" s="6" t="s">
        <v>8</v>
      </c>
      <c r="B58" s="7"/>
      <c r="C58" s="13">
        <f>'Iné teplotné podmienky'!$D$9</f>
        <v>20</v>
      </c>
      <c r="D58" s="12">
        <v>500</v>
      </c>
      <c r="E58">
        <v>1.3048</v>
      </c>
      <c r="F58">
        <v>7.6056</v>
      </c>
      <c r="G58" s="11">
        <f t="shared" si="10"/>
        <v>1252.9955902612824</v>
      </c>
      <c r="I58">
        <v>1.295</v>
      </c>
      <c r="J58">
        <v>7.389393155533554</v>
      </c>
      <c r="K58" s="11">
        <f t="shared" si="11"/>
        <v>1171.5880400007488</v>
      </c>
      <c r="L58" s="2"/>
    </row>
    <row r="59" spans="1:12" ht="12.75">
      <c r="A59" s="6"/>
      <c r="B59" s="7"/>
      <c r="C59" s="13"/>
      <c r="D59" s="12">
        <v>550</v>
      </c>
      <c r="E59">
        <v>1.3053</v>
      </c>
      <c r="F59">
        <v>8.256589633357617</v>
      </c>
      <c r="G59" s="11">
        <f t="shared" si="10"/>
        <v>1362.9070768902398</v>
      </c>
      <c r="I59">
        <v>1.296</v>
      </c>
      <c r="J59">
        <v>7.992808039963665</v>
      </c>
      <c r="K59" s="11">
        <f t="shared" si="11"/>
        <v>1272.2267077366455</v>
      </c>
      <c r="L59" s="2"/>
    </row>
    <row r="60" spans="4:12" ht="12.75">
      <c r="D60" s="12">
        <v>600</v>
      </c>
      <c r="E60">
        <v>1.3156</v>
      </c>
      <c r="F60">
        <v>8.4664</v>
      </c>
      <c r="G60" s="11">
        <f t="shared" si="10"/>
        <v>1455.0024373206347</v>
      </c>
      <c r="I60">
        <v>1.2969</v>
      </c>
      <c r="J60">
        <v>8.496847880249184</v>
      </c>
      <c r="K60" s="11">
        <f t="shared" si="11"/>
        <v>1357.225596939652</v>
      </c>
      <c r="L60" s="2"/>
    </row>
    <row r="61" spans="4:12" ht="12.75">
      <c r="D61" s="12">
        <v>900</v>
      </c>
      <c r="E61">
        <v>1.3192</v>
      </c>
      <c r="F61">
        <v>11.7044</v>
      </c>
      <c r="G61" s="11">
        <f t="shared" si="10"/>
        <v>2040.0010228691865</v>
      </c>
      <c r="I61">
        <v>1.3116</v>
      </c>
      <c r="J61">
        <v>11.251771803298315</v>
      </c>
      <c r="K61" s="11">
        <f t="shared" si="11"/>
        <v>1903.662581019614</v>
      </c>
      <c r="L61" s="2"/>
    </row>
    <row r="62" spans="1:3" ht="12.75">
      <c r="A62" s="6" t="s">
        <v>157</v>
      </c>
      <c r="B62" s="7"/>
      <c r="C62" s="10"/>
    </row>
    <row r="63" spans="1:11" ht="12.75">
      <c r="A63" s="6" t="s">
        <v>6</v>
      </c>
      <c r="B63" s="7"/>
      <c r="C63" s="13">
        <f>'Iné teplotné podmienky'!$D$6</f>
        <v>75</v>
      </c>
      <c r="D63" s="12">
        <v>300</v>
      </c>
      <c r="E63">
        <v>1.2897</v>
      </c>
      <c r="F63">
        <v>3.9408491185457177</v>
      </c>
      <c r="G63" s="11">
        <f aca="true" t="shared" si="12" ref="G63:G68">IF($E$7&lt;0.7,F63*$E$9^E63,F63*$E$8^E63)</f>
        <v>612</v>
      </c>
      <c r="I63">
        <v>1.3088</v>
      </c>
      <c r="J63">
        <v>3.3425316984017504</v>
      </c>
      <c r="K63" s="11">
        <f aca="true" t="shared" si="13" ref="K63:K68">IF($E$7&lt;0.7,J63*$E$9^I63,J63*$E$8^I63)</f>
        <v>559.3549377406785</v>
      </c>
    </row>
    <row r="64" spans="1:11" ht="12.75">
      <c r="A64" s="6" t="s">
        <v>7</v>
      </c>
      <c r="B64" s="7"/>
      <c r="C64" s="13">
        <f>'Iné teplotné podmienky'!$D$8</f>
        <v>65</v>
      </c>
      <c r="D64" s="12">
        <v>400</v>
      </c>
      <c r="E64">
        <v>1.2953</v>
      </c>
      <c r="F64">
        <v>4.844517099815134</v>
      </c>
      <c r="G64" s="11">
        <f t="shared" si="12"/>
        <v>768.9999999999999</v>
      </c>
      <c r="I64">
        <v>1.3033</v>
      </c>
      <c r="J64">
        <v>4.342578616877487</v>
      </c>
      <c r="K64" s="11">
        <f t="shared" si="13"/>
        <v>711.2385635920257</v>
      </c>
    </row>
    <row r="65" spans="1:11" ht="12.75">
      <c r="A65" s="6" t="s">
        <v>8</v>
      </c>
      <c r="B65" s="7"/>
      <c r="C65" s="13">
        <f>'Iné teplotné podmienky'!$D$9</f>
        <v>20</v>
      </c>
      <c r="D65" s="12">
        <v>500</v>
      </c>
      <c r="E65">
        <v>1.301</v>
      </c>
      <c r="F65">
        <v>5.6679740301486286</v>
      </c>
      <c r="G65" s="11">
        <f t="shared" si="12"/>
        <v>920</v>
      </c>
      <c r="I65">
        <v>1.2977</v>
      </c>
      <c r="J65">
        <v>5.330386875637655</v>
      </c>
      <c r="K65" s="11">
        <f t="shared" si="13"/>
        <v>854.106654560758</v>
      </c>
    </row>
    <row r="66" spans="1:11" ht="12.75">
      <c r="A66" s="6"/>
      <c r="B66" s="7"/>
      <c r="C66" s="13"/>
      <c r="D66" s="12">
        <v>550</v>
      </c>
      <c r="E66">
        <v>1.3037</v>
      </c>
      <c r="F66">
        <v>6.065629595359762</v>
      </c>
      <c r="G66" s="11">
        <f t="shared" si="12"/>
        <v>995</v>
      </c>
      <c r="I66">
        <v>1.2909</v>
      </c>
      <c r="J66">
        <v>5.947538787368657</v>
      </c>
      <c r="K66" s="11">
        <f t="shared" si="13"/>
        <v>927.9779600022325</v>
      </c>
    </row>
    <row r="67" spans="4:11" ht="12.75">
      <c r="D67" s="12">
        <v>600</v>
      </c>
      <c r="E67">
        <v>1.3066</v>
      </c>
      <c r="F67">
        <v>6.437200628692529</v>
      </c>
      <c r="G67" s="11">
        <f t="shared" si="12"/>
        <v>1068</v>
      </c>
      <c r="I67">
        <v>1.2918</v>
      </c>
      <c r="J67">
        <v>6.317908301490292</v>
      </c>
      <c r="K67" s="11">
        <f t="shared" si="13"/>
        <v>989.2425080129962</v>
      </c>
    </row>
    <row r="68" spans="4:11" ht="12.75">
      <c r="D68" s="12">
        <v>900</v>
      </c>
      <c r="E68">
        <v>1.3162</v>
      </c>
      <c r="F68">
        <v>8.70776979812384</v>
      </c>
      <c r="G68" s="11">
        <f t="shared" si="12"/>
        <v>1500</v>
      </c>
      <c r="I68">
        <v>1.2659</v>
      </c>
      <c r="J68">
        <v>9.583123477674583</v>
      </c>
      <c r="K68" s="11">
        <f t="shared" si="13"/>
        <v>1355.9173332000398</v>
      </c>
    </row>
  </sheetData>
  <sheetProtection/>
  <printOptions/>
  <pageMargins left="0.75" right="0.75" top="1" bottom="1" header="0.4921259845" footer="0.492125984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12"/>
  <dimension ref="A1:Y121"/>
  <sheetViews>
    <sheetView zoomScalePageLayoutView="0" workbookViewId="0" topLeftCell="A1">
      <selection activeCell="O3" sqref="O3"/>
    </sheetView>
  </sheetViews>
  <sheetFormatPr defaultColWidth="9.140625" defaultRowHeight="12.75"/>
  <cols>
    <col min="3" max="3" width="10.28125" style="0" bestFit="1" customWidth="1"/>
    <col min="11" max="11" width="12.00390625" style="0" bestFit="1" customWidth="1"/>
    <col min="15" max="15" width="11.421875" style="0" bestFit="1" customWidth="1"/>
  </cols>
  <sheetData>
    <row r="1" ht="12.75">
      <c r="B1" s="52" t="s">
        <v>143</v>
      </c>
    </row>
    <row r="2" spans="1:16" ht="12.75">
      <c r="A2" s="51" t="s">
        <v>77</v>
      </c>
      <c r="B2" s="51" t="s">
        <v>78</v>
      </c>
      <c r="C2" s="51" t="s">
        <v>79</v>
      </c>
      <c r="D2" s="51"/>
      <c r="E2" s="51" t="s">
        <v>80</v>
      </c>
      <c r="F2" s="51" t="s">
        <v>81</v>
      </c>
      <c r="G2" s="51" t="s">
        <v>4</v>
      </c>
      <c r="H2" s="51"/>
      <c r="I2" s="51"/>
      <c r="J2" s="51"/>
      <c r="L2" s="51" t="s">
        <v>82</v>
      </c>
      <c r="M2" s="51" t="s">
        <v>84</v>
      </c>
      <c r="O2" s="52" t="s">
        <v>144</v>
      </c>
      <c r="P2" s="52" t="s">
        <v>145</v>
      </c>
    </row>
    <row r="3" spans="1:16" ht="12.75">
      <c r="A3">
        <v>10</v>
      </c>
      <c r="B3">
        <v>300</v>
      </c>
      <c r="C3">
        <v>6.39</v>
      </c>
      <c r="D3">
        <v>0.36</v>
      </c>
      <c r="E3">
        <v>1.81</v>
      </c>
      <c r="F3">
        <v>342</v>
      </c>
      <c r="G3">
        <v>1.3187</v>
      </c>
      <c r="K3">
        <v>10</v>
      </c>
      <c r="L3">
        <v>10</v>
      </c>
      <c r="M3">
        <v>300</v>
      </c>
      <c r="O3" t="b">
        <v>0</v>
      </c>
      <c r="P3" t="b">
        <v>0</v>
      </c>
    </row>
    <row r="4" spans="2:16" ht="12.75">
      <c r="B4">
        <v>400</v>
      </c>
      <c r="C4">
        <v>8.24</v>
      </c>
      <c r="D4">
        <v>0.36</v>
      </c>
      <c r="E4">
        <v>2.24</v>
      </c>
      <c r="F4">
        <v>443</v>
      </c>
      <c r="G4">
        <v>1.3072</v>
      </c>
      <c r="K4">
        <v>20</v>
      </c>
      <c r="L4">
        <v>11</v>
      </c>
      <c r="M4">
        <v>400</v>
      </c>
      <c r="O4">
        <f>N(O3)</f>
        <v>0</v>
      </c>
      <c r="P4">
        <f>N(P3)*2+1</f>
        <v>1</v>
      </c>
    </row>
    <row r="5" spans="2:13" ht="12.75">
      <c r="B5">
        <v>500</v>
      </c>
      <c r="C5">
        <v>10.24</v>
      </c>
      <c r="D5">
        <v>0.36</v>
      </c>
      <c r="E5">
        <v>2.67</v>
      </c>
      <c r="F5">
        <v>536</v>
      </c>
      <c r="G5">
        <v>1.2958</v>
      </c>
      <c r="K5" s="29" t="s">
        <v>158</v>
      </c>
      <c r="L5">
        <v>20</v>
      </c>
      <c r="M5">
        <v>500</v>
      </c>
    </row>
    <row r="6" spans="2:13" ht="12.75">
      <c r="B6">
        <v>550</v>
      </c>
      <c r="C6">
        <v>11.34</v>
      </c>
      <c r="D6">
        <v>0.36</v>
      </c>
      <c r="E6">
        <v>2.8</v>
      </c>
      <c r="F6">
        <v>583</v>
      </c>
      <c r="G6">
        <v>1.3145</v>
      </c>
      <c r="K6">
        <v>21</v>
      </c>
      <c r="L6" s="29" t="s">
        <v>158</v>
      </c>
      <c r="M6">
        <v>550</v>
      </c>
    </row>
    <row r="7" spans="2:16" ht="12.75">
      <c r="B7">
        <v>600</v>
      </c>
      <c r="C7">
        <v>12.17</v>
      </c>
      <c r="D7">
        <v>0.36</v>
      </c>
      <c r="E7">
        <v>3.1</v>
      </c>
      <c r="F7">
        <v>621</v>
      </c>
      <c r="G7">
        <v>1.2843</v>
      </c>
      <c r="K7">
        <v>22</v>
      </c>
      <c r="L7">
        <v>21</v>
      </c>
      <c r="M7">
        <v>600</v>
      </c>
      <c r="O7" t="s">
        <v>83</v>
      </c>
      <c r="P7">
        <f>O4+P4</f>
        <v>1</v>
      </c>
    </row>
    <row r="8" spans="2:13" ht="12.75">
      <c r="B8">
        <v>900</v>
      </c>
      <c r="C8">
        <v>17.96</v>
      </c>
      <c r="D8">
        <v>0.36</v>
      </c>
      <c r="E8">
        <v>4.3</v>
      </c>
      <c r="F8">
        <v>829</v>
      </c>
      <c r="G8">
        <v>1.3216</v>
      </c>
      <c r="K8">
        <v>30</v>
      </c>
      <c r="L8">
        <v>22</v>
      </c>
      <c r="M8">
        <v>900</v>
      </c>
    </row>
    <row r="9" spans="11:17" ht="12.75">
      <c r="K9">
        <v>33</v>
      </c>
      <c r="L9">
        <v>30</v>
      </c>
      <c r="P9">
        <v>1</v>
      </c>
      <c r="Q9" t="s">
        <v>66</v>
      </c>
    </row>
    <row r="10" spans="1:17" ht="12.75">
      <c r="A10">
        <v>11</v>
      </c>
      <c r="B10">
        <v>300</v>
      </c>
      <c r="C10">
        <v>10.02</v>
      </c>
      <c r="D10">
        <v>0.578</v>
      </c>
      <c r="E10">
        <v>1.81</v>
      </c>
      <c r="F10">
        <v>545</v>
      </c>
      <c r="G10" s="12">
        <v>1.2912</v>
      </c>
      <c r="L10">
        <v>33</v>
      </c>
      <c r="P10">
        <v>2</v>
      </c>
      <c r="Q10" t="s">
        <v>144</v>
      </c>
    </row>
    <row r="11" spans="2:17" ht="12.75">
      <c r="B11">
        <v>400</v>
      </c>
      <c r="C11">
        <v>13.05</v>
      </c>
      <c r="D11">
        <v>0.65</v>
      </c>
      <c r="E11">
        <v>2.24</v>
      </c>
      <c r="F11">
        <v>689</v>
      </c>
      <c r="G11" s="12">
        <v>1.2953</v>
      </c>
      <c r="P11">
        <v>3</v>
      </c>
      <c r="Q11" t="s">
        <v>152</v>
      </c>
    </row>
    <row r="12" spans="2:17" ht="12.75">
      <c r="B12">
        <v>500</v>
      </c>
      <c r="C12">
        <v>16.33</v>
      </c>
      <c r="D12">
        <v>0.722</v>
      </c>
      <c r="E12">
        <v>2.67</v>
      </c>
      <c r="F12">
        <v>826</v>
      </c>
      <c r="G12" s="12">
        <v>1.2994</v>
      </c>
      <c r="J12" s="29" t="s">
        <v>83</v>
      </c>
      <c r="K12" s="29"/>
      <c r="L12">
        <v>6</v>
      </c>
      <c r="M12">
        <v>5</v>
      </c>
      <c r="P12">
        <v>4</v>
      </c>
      <c r="Q12" t="s">
        <v>151</v>
      </c>
    </row>
    <row r="13" spans="7:11" ht="12.75">
      <c r="G13" s="12"/>
      <c r="K13" s="29"/>
    </row>
    <row r="14" spans="2:12" ht="12.75">
      <c r="B14">
        <v>600</v>
      </c>
      <c r="C14">
        <v>19.16</v>
      </c>
      <c r="D14">
        <v>0.794</v>
      </c>
      <c r="E14">
        <v>3.1</v>
      </c>
      <c r="F14">
        <v>1079</v>
      </c>
      <c r="G14" s="12">
        <v>1.3035</v>
      </c>
      <c r="L14">
        <f>(12*(P7-1))+L12</f>
        <v>6</v>
      </c>
    </row>
    <row r="15" spans="2:7" ht="12.75">
      <c r="B15">
        <v>900</v>
      </c>
      <c r="C15">
        <v>28.46</v>
      </c>
      <c r="D15">
        <v>1.012</v>
      </c>
      <c r="E15">
        <v>4.3</v>
      </c>
      <c r="F15">
        <v>1345</v>
      </c>
      <c r="G15">
        <v>1.3237</v>
      </c>
    </row>
    <row r="16" ht="12.75">
      <c r="K16" s="52" t="s">
        <v>146</v>
      </c>
    </row>
    <row r="17" spans="1:14" ht="12.75">
      <c r="A17">
        <v>20</v>
      </c>
      <c r="B17">
        <v>300</v>
      </c>
      <c r="C17">
        <v>13.47</v>
      </c>
      <c r="D17">
        <v>0.586</v>
      </c>
      <c r="E17">
        <v>3.5</v>
      </c>
      <c r="F17">
        <v>559</v>
      </c>
      <c r="G17" s="106">
        <v>1.263</v>
      </c>
      <c r="J17" t="s">
        <v>77</v>
      </c>
      <c r="K17" s="14" t="s">
        <v>79</v>
      </c>
      <c r="L17" s="14" t="s">
        <v>80</v>
      </c>
      <c r="M17" s="14" t="s">
        <v>81</v>
      </c>
      <c r="N17" s="14" t="s">
        <v>4</v>
      </c>
    </row>
    <row r="18" spans="2:14" ht="12.75">
      <c r="B18">
        <v>400</v>
      </c>
      <c r="C18">
        <v>17.05</v>
      </c>
      <c r="D18">
        <v>0.658</v>
      </c>
      <c r="E18">
        <v>4.37</v>
      </c>
      <c r="F18">
        <v>697</v>
      </c>
      <c r="G18" s="107">
        <v>1.2693</v>
      </c>
      <c r="J18">
        <v>10</v>
      </c>
      <c r="K18">
        <f>('Technické údaje'!$E$8*INDEX(C3:C8,$M$12,1)/1000)+INDEX(D3:D8,$M$12,1)</f>
        <v>14.963999999999999</v>
      </c>
      <c r="L18">
        <f>'Technické údaje'!$E$8*INDEX(E3:E8,$M$12,1)/1000</f>
        <v>3.72</v>
      </c>
      <c r="M18">
        <f>'Technické údaje'!$E$8*INDEX(F3:F8,$M$12,1)/1000</f>
        <v>745.2</v>
      </c>
      <c r="N18">
        <f>INDEX(G3:G8,$M$12,1)</f>
        <v>1.2843</v>
      </c>
    </row>
    <row r="19" spans="2:14" ht="12.75">
      <c r="B19">
        <v>500</v>
      </c>
      <c r="C19">
        <v>20.57</v>
      </c>
      <c r="D19">
        <v>0.73</v>
      </c>
      <c r="E19">
        <v>5.23</v>
      </c>
      <c r="F19">
        <v>832</v>
      </c>
      <c r="G19" s="106">
        <v>1.2755</v>
      </c>
      <c r="J19">
        <v>11</v>
      </c>
      <c r="K19">
        <f>('Technické údaje'!$E$8*INDEX(C10:C15,$M$12,1)/1000)+INDEX(D10:D15,$M$12,1)</f>
        <v>23.786</v>
      </c>
      <c r="L19">
        <f>'Technické údaje'!$E$8*INDEX(E10:E15,$M$12,1)/1000</f>
        <v>3.72</v>
      </c>
      <c r="M19">
        <f>'Technické údaje'!$E$8*INDEX(F10:F15,$M$12,1)/1000</f>
        <v>1294.8</v>
      </c>
      <c r="N19">
        <f>INDEX(G10:G15,$M$12,1)</f>
        <v>1.3035</v>
      </c>
    </row>
    <row r="20" spans="2:14" ht="12.75">
      <c r="B20">
        <v>550</v>
      </c>
      <c r="C20">
        <v>22.79</v>
      </c>
      <c r="D20">
        <v>0.756</v>
      </c>
      <c r="E20">
        <v>5.3</v>
      </c>
      <c r="F20">
        <v>904</v>
      </c>
      <c r="G20" s="106">
        <v>1.2776</v>
      </c>
      <c r="J20">
        <v>20</v>
      </c>
      <c r="K20">
        <f>('Technické údaje'!$E$8*INDEX(C17:C22,$M$12,1)/1000)+INDEX(D17:D22,$M$12,1)</f>
        <v>30.381999999999998</v>
      </c>
      <c r="L20">
        <f>'Technické údaje'!$E$8*INDEX(E17:E22,$M$12,1)/1000</f>
        <v>7.32</v>
      </c>
      <c r="M20">
        <f>'Technické údaje'!$E$8*INDEX(F17:F22,$M$12,1)/1000</f>
        <v>1159.2</v>
      </c>
      <c r="N20">
        <f>INDEX(G17:G22,$M$12,1)</f>
        <v>1.2818</v>
      </c>
    </row>
    <row r="21" spans="2:14" ht="12.75">
      <c r="B21">
        <v>600</v>
      </c>
      <c r="C21">
        <v>24.65</v>
      </c>
      <c r="D21">
        <v>0.802</v>
      </c>
      <c r="E21">
        <v>6.1</v>
      </c>
      <c r="F21">
        <v>966</v>
      </c>
      <c r="G21" s="106">
        <v>1.2818</v>
      </c>
      <c r="J21" s="29" t="s">
        <v>158</v>
      </c>
      <c r="K21">
        <f>('Technické údaje'!$E$8*INDEX(C24:C29,$M$12,1)/1000)+INDEX(D24:D29,$M$12,1)</f>
        <v>30.886</v>
      </c>
      <c r="L21">
        <f>'Technické údaje'!$E$8*INDEX(E17:E22,$M$12,1)/1000</f>
        <v>7.32</v>
      </c>
      <c r="M21">
        <f>'Technické údaje'!$E$8*INDEX(F24:F29,$M$12,1)/1000</f>
        <v>1281.6</v>
      </c>
      <c r="N21">
        <f>INDEX(G24:G29,$M$12,1)</f>
        <v>1.3066</v>
      </c>
    </row>
    <row r="22" spans="2:14" ht="12.75">
      <c r="B22">
        <v>900</v>
      </c>
      <c r="C22">
        <v>36.52</v>
      </c>
      <c r="D22">
        <v>1.02</v>
      </c>
      <c r="E22">
        <v>8.5</v>
      </c>
      <c r="F22">
        <v>1369</v>
      </c>
      <c r="G22" s="106">
        <v>1.3094</v>
      </c>
      <c r="J22">
        <v>21</v>
      </c>
      <c r="K22">
        <f>('Technické údaje'!$E$8*INDEX(C31:C36,$M$12,1)/1000)+INDEX(D31:D36,$M$12,1)</f>
        <v>34.042</v>
      </c>
      <c r="L22">
        <f>'Technické údaje'!$E$8*INDEX(E31:E36,$M$12,1)/1000</f>
        <v>7.32</v>
      </c>
      <c r="M22">
        <f>'Technické údaje'!$E$8*INDEX(F31:F36,$M$12,1)/1000</f>
        <v>1544.4</v>
      </c>
      <c r="N22">
        <f>INDEX(G31:G36,$M$12,1)</f>
        <v>1.3536</v>
      </c>
    </row>
    <row r="23" spans="10:14" ht="12.75">
      <c r="J23">
        <v>22</v>
      </c>
      <c r="K23">
        <f>('Technické údaje'!$E$8*INDEX(C38:C43,$M$12,1)/1000)+INDEX(D38:D43,$M$12,1)</f>
        <v>39.034</v>
      </c>
      <c r="L23">
        <f>'Technické údaje'!$E$8*INDEX(E38:E43,$M$12,1)/1000</f>
        <v>7.38</v>
      </c>
      <c r="M23">
        <f>'Technické údaje'!$E$8*INDEX(F38:F43,$M$12,1)/1000</f>
        <v>2037.6</v>
      </c>
      <c r="N23">
        <f>INDEX(G38:G43,$M$12,1)</f>
        <v>1.3331</v>
      </c>
    </row>
    <row r="24" spans="1:14" ht="12.75">
      <c r="A24" s="29" t="s">
        <v>158</v>
      </c>
      <c r="B24">
        <v>300</v>
      </c>
      <c r="C24">
        <v>13.47</v>
      </c>
      <c r="D24">
        <v>0.954</v>
      </c>
      <c r="E24">
        <v>3.5</v>
      </c>
      <c r="F24">
        <v>612</v>
      </c>
      <c r="G24">
        <v>1.2897</v>
      </c>
      <c r="J24">
        <v>30</v>
      </c>
      <c r="K24">
        <f>('Technické údaje'!$E$8*INDEX(C45:C50,$M$12,1)/1000)+INDEX(D45:D50,$M$12,1)</f>
        <v>46.372</v>
      </c>
      <c r="L24">
        <f>'Technické údaje'!$E$8*INDEX(E45:E50,$M$12,1)/1000</f>
        <v>10.8</v>
      </c>
      <c r="M24">
        <f>'Technické údaje'!$E$8*INDEX(F45:F50,$M$12,1)/1000</f>
        <v>1746</v>
      </c>
      <c r="N24">
        <f>INDEX(G45:G50,$M$12,1)</f>
        <v>1.3156</v>
      </c>
    </row>
    <row r="25" spans="2:14" ht="12.75">
      <c r="B25">
        <v>400</v>
      </c>
      <c r="C25">
        <v>17.05</v>
      </c>
      <c r="D25">
        <v>1.072</v>
      </c>
      <c r="E25">
        <v>4.37</v>
      </c>
      <c r="F25">
        <v>769</v>
      </c>
      <c r="G25">
        <v>1.2953</v>
      </c>
      <c r="J25">
        <v>33</v>
      </c>
      <c r="K25">
        <f>('Technické údaje'!$E$8*INDEX(C52:C57,$M$12,1)/1000)+INDEX(D52:D57,$M$12,1)</f>
        <v>58.072</v>
      </c>
      <c r="L25">
        <f>'Technické údaje'!$E$8*INDEX(E52:E57,$M$12,1)/1000</f>
        <v>10.8</v>
      </c>
      <c r="M25">
        <f>'Technické údaje'!$E$8*INDEX(F52:F57,$M$12,1)/1000</f>
        <v>2892</v>
      </c>
      <c r="N25">
        <f>INDEX(G52:G57,$M$12,1)</f>
        <v>1.3444</v>
      </c>
    </row>
    <row r="26" spans="2:7" ht="12.75">
      <c r="B26">
        <v>500</v>
      </c>
      <c r="C26">
        <v>20.57</v>
      </c>
      <c r="D26">
        <v>1.19</v>
      </c>
      <c r="E26">
        <v>5.23</v>
      </c>
      <c r="F26">
        <v>920</v>
      </c>
      <c r="G26">
        <v>1.301</v>
      </c>
    </row>
    <row r="27" spans="2:7" ht="12.75">
      <c r="B27">
        <v>550</v>
      </c>
      <c r="C27">
        <v>22.79</v>
      </c>
      <c r="D27">
        <v>1.266</v>
      </c>
      <c r="E27">
        <v>5.3</v>
      </c>
      <c r="F27">
        <v>995</v>
      </c>
      <c r="G27">
        <v>1.3037</v>
      </c>
    </row>
    <row r="28" spans="2:11" ht="12.75">
      <c r="B28">
        <v>600</v>
      </c>
      <c r="C28">
        <v>24.65</v>
      </c>
      <c r="D28">
        <v>1.306</v>
      </c>
      <c r="E28">
        <v>6.1</v>
      </c>
      <c r="F28">
        <v>1068</v>
      </c>
      <c r="G28">
        <v>1.3066</v>
      </c>
      <c r="K28" s="52" t="s">
        <v>148</v>
      </c>
    </row>
    <row r="29" spans="2:14" ht="12.75">
      <c r="B29">
        <v>900</v>
      </c>
      <c r="C29">
        <v>36.52</v>
      </c>
      <c r="D29">
        <v>1.66</v>
      </c>
      <c r="E29">
        <v>8.5</v>
      </c>
      <c r="F29">
        <v>1500</v>
      </c>
      <c r="G29">
        <v>1.3162</v>
      </c>
      <c r="J29" t="s">
        <v>77</v>
      </c>
      <c r="K29" s="14" t="s">
        <v>79</v>
      </c>
      <c r="L29" s="14" t="s">
        <v>80</v>
      </c>
      <c r="M29" s="14" t="s">
        <v>81</v>
      </c>
      <c r="N29" s="14" t="s">
        <v>4</v>
      </c>
    </row>
    <row r="30" spans="10:16" ht="12.75">
      <c r="J30">
        <v>10</v>
      </c>
      <c r="K30">
        <f>('Technické údaje'!$E$8*INDEX(L67:L72,$M$12,1)/1000)+INDEX(M67:M72,$M$12,1)</f>
        <v>15.261999999999999</v>
      </c>
      <c r="L30">
        <f>'Technické údaje'!$E$8*INDEX(N67:N72,$M$12,1)/1000</f>
        <v>3.72</v>
      </c>
      <c r="M30" s="84">
        <f>'Technické údaje'!$E$8*INDEX(O67:O72,$M$12,1)/1000</f>
        <v>745.2</v>
      </c>
      <c r="N30" s="85">
        <f>INDEX(P67:P72,$M$12,1)</f>
        <v>1.2843</v>
      </c>
      <c r="O30" s="53"/>
      <c r="P30" s="53"/>
    </row>
    <row r="31" spans="1:16" ht="12.75">
      <c r="A31">
        <v>21</v>
      </c>
      <c r="B31">
        <v>300</v>
      </c>
      <c r="C31">
        <v>14.38</v>
      </c>
      <c r="D31">
        <v>0.586</v>
      </c>
      <c r="E31">
        <v>3.5</v>
      </c>
      <c r="F31">
        <v>752</v>
      </c>
      <c r="G31" s="12">
        <v>1.3239</v>
      </c>
      <c r="J31">
        <v>11</v>
      </c>
      <c r="K31">
        <f>('Technické údaje'!$E$8*INDEX(L74:L79,$M$12,1)/1000)+INDEX(M74:M79,$M$12,1)</f>
        <v>24.084</v>
      </c>
      <c r="L31">
        <f>'Technické údaje'!$E$8*INDEX(N74:N79,$M$12,1)/1000</f>
        <v>3.72</v>
      </c>
      <c r="M31" s="84">
        <f>'Technické údaje'!$E$8*INDEX(O74:O79,$M$12,1)/1000</f>
        <v>1294.8</v>
      </c>
      <c r="N31" s="85">
        <f>INDEX(P74:P79,$M$12,1)</f>
        <v>1.3035</v>
      </c>
      <c r="O31" s="2"/>
      <c r="P31" s="2"/>
    </row>
    <row r="32" spans="2:14" ht="12.75">
      <c r="B32">
        <v>400</v>
      </c>
      <c r="C32">
        <v>18.8</v>
      </c>
      <c r="D32">
        <v>0.658</v>
      </c>
      <c r="E32">
        <v>4.37</v>
      </c>
      <c r="F32">
        <v>937</v>
      </c>
      <c r="G32" s="12">
        <v>1.3338</v>
      </c>
      <c r="J32">
        <v>20</v>
      </c>
      <c r="K32">
        <f>('Technické údaje'!$E$8*INDEX(L81:L86,$M$12,1)/1000)+INDEX(M81:M86,$M$12,1)</f>
        <v>30.688</v>
      </c>
      <c r="L32">
        <f>'Technické údaje'!$E$8*INDEX(N81:N86,$M$12,1)/1000</f>
        <v>7.32</v>
      </c>
      <c r="M32" s="84">
        <f>'Technické údaje'!$E$8*INDEX(O81:O86,$M$12,1)/1000</f>
        <v>1159.2</v>
      </c>
      <c r="N32" s="85">
        <f>INDEX(P81:P86,$M$12,1)</f>
        <v>1.2818</v>
      </c>
    </row>
    <row r="33" spans="2:14" ht="12.75">
      <c r="B33">
        <v>500</v>
      </c>
      <c r="C33">
        <v>23.25</v>
      </c>
      <c r="D33">
        <v>0.73</v>
      </c>
      <c r="E33">
        <v>5.23</v>
      </c>
      <c r="F33">
        <v>1115</v>
      </c>
      <c r="G33" s="12">
        <v>1.3437</v>
      </c>
      <c r="J33" s="29" t="s">
        <v>158</v>
      </c>
      <c r="K33">
        <f>('Technické údaje'!$E$8*INDEX(L88:L93,$M$12,1)/1000)+INDEX(M88:M93,$M$12,1)</f>
        <v>30.886</v>
      </c>
      <c r="L33">
        <f>'Technické údaje'!$E$8*INDEX(N88:N93,$M$12,1)/1000</f>
        <v>7.32</v>
      </c>
      <c r="M33" s="84">
        <f>'Technické údaje'!$E$8*INDEX(O88:O93,$M$12,1)/1000</f>
        <v>1281.6</v>
      </c>
      <c r="N33" s="85">
        <f>INDEX(P88:P93,$M$12,1)</f>
        <v>1.3066</v>
      </c>
    </row>
    <row r="34" spans="2:14" ht="12.75">
      <c r="B34">
        <v>550</v>
      </c>
      <c r="C34">
        <v>26.24</v>
      </c>
      <c r="D34">
        <v>0.756</v>
      </c>
      <c r="E34">
        <v>5.3</v>
      </c>
      <c r="F34">
        <v>1208</v>
      </c>
      <c r="G34" s="12">
        <v>1.3413</v>
      </c>
      <c r="J34">
        <v>21</v>
      </c>
      <c r="K34">
        <f>('Technické údaje'!$E$8*INDEX(L95:L100,$M$12,1)/1000)+INDEX(M95:M100,$M$12,1)</f>
        <v>34.348</v>
      </c>
      <c r="L34">
        <f>'Technické údaje'!$E$8*INDEX(N95:N100,$M$12,1)/1000</f>
        <v>7.32</v>
      </c>
      <c r="M34" s="84">
        <f>'Technické údaje'!$E$8*INDEX(O95:O100,$M$12,1)/1000</f>
        <v>1544.4</v>
      </c>
      <c r="N34" s="85">
        <f>INDEX(P95:P100,$M$12,1)</f>
        <v>1.3536</v>
      </c>
    </row>
    <row r="35" spans="2:14" ht="12.75">
      <c r="B35">
        <v>600</v>
      </c>
      <c r="C35">
        <v>27.7</v>
      </c>
      <c r="D35">
        <v>0.802</v>
      </c>
      <c r="E35">
        <v>6.1</v>
      </c>
      <c r="F35">
        <v>1287</v>
      </c>
      <c r="G35" s="12">
        <v>1.3536</v>
      </c>
      <c r="J35">
        <v>22</v>
      </c>
      <c r="K35">
        <f>('Technické údaje'!$E$8*INDEX(L102:L107,$M$12,1)/1000)+INDEX(M102:M107,$M$12,1)</f>
        <v>39.322</v>
      </c>
      <c r="L35">
        <f>'Technické údaje'!$E$8*INDEX(N102:N107,$M$12,1)/1000</f>
        <v>7.38</v>
      </c>
      <c r="M35" s="84">
        <f>'Technické údaje'!$E$8*INDEX(O102:O107,$M$12,1)/1000</f>
        <v>2037.6</v>
      </c>
      <c r="N35" s="85">
        <f>INDEX(P102:P107,$M$12,1)</f>
        <v>1.3331</v>
      </c>
    </row>
    <row r="36" spans="2:14" ht="12.75">
      <c r="B36">
        <v>900</v>
      </c>
      <c r="C36">
        <v>41.57</v>
      </c>
      <c r="D36">
        <v>1.02</v>
      </c>
      <c r="E36">
        <v>8.5</v>
      </c>
      <c r="F36">
        <v>1788</v>
      </c>
      <c r="G36" s="12">
        <v>1.3507</v>
      </c>
      <c r="J36">
        <v>30</v>
      </c>
      <c r="K36">
        <f>('Technické údaje'!$E$8*INDEX(L109:L114,$M$12,1)/1000)+INDEX(M109:M114,$M$12,1)</f>
        <v>46.66</v>
      </c>
      <c r="L36">
        <f>'Technické údaje'!$E$8*INDEX(N109:N114,$M$12,1)/1000</f>
        <v>10.8</v>
      </c>
      <c r="M36" s="84">
        <f>'Technické údaje'!$E$8*INDEX(O109:O114,$M$12,1)/1000</f>
        <v>1746</v>
      </c>
      <c r="N36" s="85">
        <f>INDEX(P109:P114,$M$12,1)</f>
        <v>1.3156</v>
      </c>
    </row>
    <row r="37" spans="10:14" ht="12.75">
      <c r="J37">
        <v>33</v>
      </c>
      <c r="K37">
        <f>('Technické údaje'!$E$8*INDEX(L116:L121,$M$12,1)/1000)+INDEX(M116:M121,$M$12,1)</f>
        <v>58.36</v>
      </c>
      <c r="L37">
        <f>'Technické údaje'!$E$8*INDEX(N116:N121,$M$12,1)/1000</f>
        <v>10.8</v>
      </c>
      <c r="M37" s="84">
        <f>'Technické údaje'!$E$8*INDEX(O116:O121,$M$12,1)/1000</f>
        <v>2892</v>
      </c>
      <c r="N37" s="85">
        <f>INDEX(P116:P121,$M$12,1)</f>
        <v>1.3444</v>
      </c>
    </row>
    <row r="38" spans="1:7" ht="12.75">
      <c r="A38">
        <v>22</v>
      </c>
      <c r="B38">
        <v>300</v>
      </c>
      <c r="C38">
        <v>16.18</v>
      </c>
      <c r="D38">
        <v>0.954</v>
      </c>
      <c r="E38" s="103">
        <v>3.55</v>
      </c>
      <c r="F38">
        <v>983</v>
      </c>
      <c r="G38">
        <v>1.3087</v>
      </c>
    </row>
    <row r="39" spans="2:7" ht="12.75">
      <c r="B39">
        <v>400</v>
      </c>
      <c r="C39">
        <v>21.92</v>
      </c>
      <c r="D39">
        <v>1.072</v>
      </c>
      <c r="E39" s="103">
        <v>4.42</v>
      </c>
      <c r="F39">
        <v>1233</v>
      </c>
      <c r="G39">
        <v>1.3168</v>
      </c>
    </row>
    <row r="40" spans="2:11" ht="12.75">
      <c r="B40">
        <v>500</v>
      </c>
      <c r="C40">
        <v>26.41</v>
      </c>
      <c r="D40">
        <v>1.19</v>
      </c>
      <c r="E40" s="103">
        <v>5.28</v>
      </c>
      <c r="F40">
        <v>1470</v>
      </c>
      <c r="G40">
        <v>1.325</v>
      </c>
      <c r="K40" s="52" t="s">
        <v>147</v>
      </c>
    </row>
    <row r="41" spans="2:14" ht="12.75">
      <c r="B41">
        <v>550</v>
      </c>
      <c r="C41">
        <v>29.93</v>
      </c>
      <c r="D41">
        <v>1.266</v>
      </c>
      <c r="E41" s="103">
        <v>5.35</v>
      </c>
      <c r="F41">
        <v>1594</v>
      </c>
      <c r="G41">
        <v>1.3249</v>
      </c>
      <c r="J41" t="s">
        <v>77</v>
      </c>
      <c r="K41" s="14" t="s">
        <v>79</v>
      </c>
      <c r="L41" s="14" t="s">
        <v>80</v>
      </c>
      <c r="M41" s="14" t="s">
        <v>81</v>
      </c>
      <c r="N41" s="14" t="s">
        <v>4</v>
      </c>
    </row>
    <row r="42" spans="2:14" ht="12.75">
      <c r="B42">
        <v>600</v>
      </c>
      <c r="C42">
        <v>31.44</v>
      </c>
      <c r="D42">
        <v>1.306</v>
      </c>
      <c r="E42" s="103">
        <v>6.15</v>
      </c>
      <c r="F42">
        <v>1698</v>
      </c>
      <c r="G42">
        <v>1.3331</v>
      </c>
      <c r="J42" s="29">
        <v>10</v>
      </c>
      <c r="K42">
        <f>('Technické údaje'!$E$8*INDEX(C67:C72,$M$12,1)/1000)+INDEX(D67:D72,$M$12,1)</f>
        <v>21.264000000000003</v>
      </c>
      <c r="L42">
        <f>'Technické údaje'!$E$8*INDEX(E67:E72,$M$12,1)/1000</f>
        <v>3.72</v>
      </c>
      <c r="M42" s="84">
        <f>'Technické údaje'!$E$8*INDEX(F67:F72,$M$12,1)/1000</f>
        <v>657.6</v>
      </c>
      <c r="N42" s="85">
        <f>INDEX(G67:G72,$M$12,1)</f>
        <v>1.2641</v>
      </c>
    </row>
    <row r="43" spans="2:14" ht="12.75">
      <c r="B43">
        <v>900</v>
      </c>
      <c r="C43">
        <v>46.64</v>
      </c>
      <c r="D43">
        <v>1.66</v>
      </c>
      <c r="E43" s="103">
        <v>8.55</v>
      </c>
      <c r="F43">
        <v>2348</v>
      </c>
      <c r="G43">
        <v>1.3348</v>
      </c>
      <c r="J43">
        <v>11</v>
      </c>
      <c r="K43">
        <f>('Technické údaje'!$E$8*INDEX(C74:C79,$M$12,1)/1000)+INDEX(D74:D79,$M$12,1)</f>
        <v>30.086000000000002</v>
      </c>
      <c r="L43">
        <f>'Technické údaje'!$E$8*INDEX(E74:E79,$M$12,1)/1000</f>
        <v>3.72</v>
      </c>
      <c r="M43" s="84">
        <f>'Technické údaje'!$E$8*INDEX(F74:F79,$M$12,1)/1000</f>
        <v>1032</v>
      </c>
      <c r="N43" s="85">
        <f>INDEX(G74:G79,$M$12,1)</f>
        <v>1.2811</v>
      </c>
    </row>
    <row r="44" spans="10:14" ht="12.75">
      <c r="J44">
        <v>20</v>
      </c>
      <c r="K44">
        <f>('Technické údaje'!$E$8*INDEX(C81:C86,$M$12,1)/1000)+INDEX(D81:D86,$M$12,1)</f>
        <v>36.682</v>
      </c>
      <c r="L44">
        <f>'Technické údaje'!$E$8*INDEX(E81:E86,$M$12,1)/1000</f>
        <v>7.32</v>
      </c>
      <c r="M44" s="84">
        <f>'Technické údaje'!$E$8*INDEX(F81:F86,$M$12,1)/1000</f>
        <v>1072.9478838337236</v>
      </c>
      <c r="N44" s="85">
        <f>INDEX(G81:G86,$M$12,1)</f>
        <v>1.269</v>
      </c>
    </row>
    <row r="45" spans="1:14" ht="12.75">
      <c r="A45">
        <v>30</v>
      </c>
      <c r="B45">
        <v>300</v>
      </c>
      <c r="C45">
        <v>20.2</v>
      </c>
      <c r="D45">
        <v>1.402</v>
      </c>
      <c r="E45">
        <v>5.2</v>
      </c>
      <c r="F45">
        <v>828</v>
      </c>
      <c r="G45">
        <v>1.2831</v>
      </c>
      <c r="J45" s="29" t="s">
        <v>158</v>
      </c>
      <c r="K45">
        <f>('Technické údaje'!$E$8*INDEX(C81:C86,$M$12,1)/1000)+INDEX(D81:D86,$M$12,1)</f>
        <v>36.682</v>
      </c>
      <c r="L45">
        <f>'Technické údaje'!$E$8*INDEX(E88:E93,$M$12,1)/1000</f>
        <v>7.32</v>
      </c>
      <c r="M45" s="84">
        <f>'Technické údaje'!$E$8*INDEX(F88:F93,$M$12,1)/1000</f>
        <v>1187.0910096155953</v>
      </c>
      <c r="N45" s="85">
        <f>INDEX(G88:G93,$M$12,1)</f>
        <v>1.2918</v>
      </c>
    </row>
    <row r="46" spans="2:14" ht="12.75">
      <c r="B46">
        <v>400</v>
      </c>
      <c r="C46">
        <v>25.81</v>
      </c>
      <c r="D46">
        <v>1.58</v>
      </c>
      <c r="E46">
        <v>6.47</v>
      </c>
      <c r="F46">
        <v>1044</v>
      </c>
      <c r="G46">
        <v>1.2939</v>
      </c>
      <c r="J46">
        <v>21</v>
      </c>
      <c r="K46">
        <f>('Technické údaje'!$E$8*INDEX(C95:C100,$M$12,1)/1000)+INDEX(D95:D100,$M$12,1)</f>
        <v>40.342</v>
      </c>
      <c r="L46">
        <f>'Technické údaje'!$E$8*INDEX(E95:E100,$M$12,1)/1000</f>
        <v>7.32</v>
      </c>
      <c r="M46" s="84">
        <f>'Technické údaje'!$E$8*INDEX(F95:F100,$M$12,1)/1000</f>
        <v>1382.4513513042564</v>
      </c>
      <c r="N46" s="85">
        <f>INDEX(G95:G100,$M$12,1)</f>
        <v>1.3312</v>
      </c>
    </row>
    <row r="47" spans="2:14" ht="12.75">
      <c r="B47">
        <v>500</v>
      </c>
      <c r="C47">
        <v>31.42</v>
      </c>
      <c r="D47">
        <v>1.758</v>
      </c>
      <c r="E47">
        <v>7.73</v>
      </c>
      <c r="F47">
        <v>1253</v>
      </c>
      <c r="G47">
        <v>1.3048</v>
      </c>
      <c r="J47">
        <v>22</v>
      </c>
      <c r="K47">
        <f>('Technické údaje'!$E$8*INDEX(C102:C107,$M$12,1)/1000)+INDEX(D102:D107,$M$12,1)</f>
        <v>45.333999999999996</v>
      </c>
      <c r="L47">
        <f>'Technické údaje'!$E$8*INDEX(E102:E107,$M$12,1)/1000</f>
        <v>7.38</v>
      </c>
      <c r="M47" s="84">
        <f>'Technické údaje'!$E$8*INDEX(F102:F107,$M$12,1)/1000</f>
        <v>1883.877249671721</v>
      </c>
      <c r="N47" s="85">
        <f>INDEX(G102:G107,$M$12,1)</f>
        <v>1.3133</v>
      </c>
    </row>
    <row r="48" spans="2:14" ht="12.75">
      <c r="B48">
        <v>550</v>
      </c>
      <c r="C48">
        <v>34.09</v>
      </c>
      <c r="D48">
        <v>1.865</v>
      </c>
      <c r="E48">
        <v>8.15</v>
      </c>
      <c r="F48">
        <v>1363</v>
      </c>
      <c r="G48">
        <v>1.3053</v>
      </c>
      <c r="J48">
        <v>30</v>
      </c>
      <c r="K48">
        <f>('Technické údaje'!$E$8*INDEX(C109:C114,$M$12,1)/1000)+INDEX(D109:D114,$M$12,1)</f>
        <v>52.672</v>
      </c>
      <c r="L48">
        <f>'Technické údaje'!$E$8*INDEX(E109:E114,$M$12,1)/1000</f>
        <v>10.8</v>
      </c>
      <c r="M48" s="84">
        <f>'Technické údaje'!$E$8*INDEX(F109:F114,$M$12,1)/1000</f>
        <v>1628.6707163275823</v>
      </c>
      <c r="N48" s="85">
        <f>INDEX(G109:G114,$M$12,1)</f>
        <v>1.2969</v>
      </c>
    </row>
    <row r="49" spans="2:14" ht="12.75">
      <c r="B49">
        <v>600</v>
      </c>
      <c r="C49">
        <v>37.03</v>
      </c>
      <c r="D49">
        <v>1.936</v>
      </c>
      <c r="E49">
        <v>9</v>
      </c>
      <c r="F49">
        <v>1455</v>
      </c>
      <c r="G49">
        <v>1.3156</v>
      </c>
      <c r="J49">
        <v>33</v>
      </c>
      <c r="K49">
        <f>('Technické údaje'!$E$8*INDEX(C116:C121,$M$12,1)/1000)+INDEX(D116:D121,$M$12,1)</f>
        <v>64.372</v>
      </c>
      <c r="L49">
        <f>'Technické údaje'!$E$8*INDEX(E116:E121,$M$12,1)/1000</f>
        <v>10.8</v>
      </c>
      <c r="M49" s="84">
        <f>'Technické údaje'!$E$8*INDEX(F116:F121,$M$12,1)/1000</f>
        <v>2705.431420435087</v>
      </c>
      <c r="N49" s="85">
        <f>INDEX(G116:G121,$M$12,1)</f>
        <v>1.3165</v>
      </c>
    </row>
    <row r="50" spans="2:7" ht="12.75">
      <c r="B50">
        <v>900</v>
      </c>
      <c r="C50">
        <v>53.87</v>
      </c>
      <c r="D50">
        <v>2.47</v>
      </c>
      <c r="E50">
        <v>12.6</v>
      </c>
      <c r="F50">
        <v>2040</v>
      </c>
      <c r="G50">
        <v>1.3192</v>
      </c>
    </row>
    <row r="52" spans="1:11" ht="12.75">
      <c r="A52">
        <v>33</v>
      </c>
      <c r="B52">
        <v>300</v>
      </c>
      <c r="C52">
        <v>23.91</v>
      </c>
      <c r="D52">
        <v>1.402</v>
      </c>
      <c r="E52">
        <v>5.2</v>
      </c>
      <c r="F52">
        <v>1388</v>
      </c>
      <c r="G52">
        <v>1.3005</v>
      </c>
      <c r="K52" s="52" t="s">
        <v>149</v>
      </c>
    </row>
    <row r="53" spans="2:14" ht="12.75">
      <c r="B53">
        <v>400</v>
      </c>
      <c r="C53">
        <v>32.39</v>
      </c>
      <c r="D53">
        <v>1.58</v>
      </c>
      <c r="E53">
        <v>6.47</v>
      </c>
      <c r="F53">
        <v>1751</v>
      </c>
      <c r="G53">
        <v>1.3151</v>
      </c>
      <c r="J53" t="s">
        <v>77</v>
      </c>
      <c r="K53" s="14" t="s">
        <v>79</v>
      </c>
      <c r="L53" s="14" t="s">
        <v>80</v>
      </c>
      <c r="M53" s="14" t="s">
        <v>81</v>
      </c>
      <c r="N53" s="14" t="s">
        <v>4</v>
      </c>
    </row>
    <row r="54" spans="2:14" ht="12.75">
      <c r="B54">
        <v>500</v>
      </c>
      <c r="C54">
        <v>38.94</v>
      </c>
      <c r="D54">
        <v>1.758</v>
      </c>
      <c r="E54">
        <v>7.73</v>
      </c>
      <c r="F54">
        <v>2091</v>
      </c>
      <c r="G54">
        <v>1.3298</v>
      </c>
      <c r="J54">
        <v>10</v>
      </c>
      <c r="K54">
        <f>('Technické údaje'!$E$8*INDEX(U67:U72,$M$12,1)/1000)+INDEX(V67:V72,$M$12,1)</f>
        <v>21.562000000000005</v>
      </c>
      <c r="L54">
        <f>'Technické údaje'!$E$8*INDEX(W67:W72,$M$12,1)/1000</f>
        <v>3.72</v>
      </c>
      <c r="M54" s="84">
        <f>'Technické údaje'!$E$8*INDEX(X67:X72,$M$12,1)/1000</f>
        <v>657.6</v>
      </c>
      <c r="N54" s="85">
        <f>INDEX(Y67:Y72,$M$12,1)</f>
        <v>1.2641</v>
      </c>
    </row>
    <row r="55" spans="2:14" ht="12.75">
      <c r="B55">
        <v>550</v>
      </c>
      <c r="C55">
        <v>44.19</v>
      </c>
      <c r="D55">
        <v>1.865</v>
      </c>
      <c r="E55">
        <v>8.15</v>
      </c>
      <c r="F55">
        <v>2265</v>
      </c>
      <c r="G55">
        <v>1.3357</v>
      </c>
      <c r="J55">
        <v>11</v>
      </c>
      <c r="K55">
        <f>('Technické údaje'!$E$8*INDEX(U74:U79,$M$12,1)/1000)+INDEX(V74:V79,$M$12,1)</f>
        <v>30.384</v>
      </c>
      <c r="L55">
        <f>'Technické údaje'!$E$8*INDEX(W74:W79,$M$12,1)/1000</f>
        <v>3.72</v>
      </c>
      <c r="M55" s="84">
        <f>'Technické údaje'!$E$8*INDEX(X74:X79,$M$12,1)/1000</f>
        <v>1032</v>
      </c>
      <c r="N55" s="85">
        <f>INDEX(Y74:Y79,$M$12,1)</f>
        <v>1.2811</v>
      </c>
    </row>
    <row r="56" spans="2:14" ht="12.75">
      <c r="B56">
        <v>600</v>
      </c>
      <c r="C56">
        <v>46.78</v>
      </c>
      <c r="D56">
        <v>1.936</v>
      </c>
      <c r="E56">
        <v>9</v>
      </c>
      <c r="F56">
        <v>2410</v>
      </c>
      <c r="G56">
        <v>1.3444</v>
      </c>
      <c r="J56">
        <v>20</v>
      </c>
      <c r="K56">
        <f>('Technické údaje'!$E$8*INDEX(U81:U86,$M$12,1)/1000)+INDEX(V81:V86,$M$12,1)</f>
        <v>36.988</v>
      </c>
      <c r="L56">
        <f>'Technické údaje'!$E$8*INDEX(W81:W86,$M$12,1)/1000</f>
        <v>7.32</v>
      </c>
      <c r="M56" s="84">
        <f>'Technické údaje'!$E$8*INDEX(X81:X86,$M$12,1)/1000</f>
        <v>1072.9478838337236</v>
      </c>
      <c r="N56" s="85">
        <f>INDEX(Y81:Y86,$M$12,1)</f>
        <v>1.269</v>
      </c>
    </row>
    <row r="57" spans="2:14" ht="12.75">
      <c r="B57">
        <v>900</v>
      </c>
      <c r="C57">
        <v>70.9</v>
      </c>
      <c r="D57">
        <v>2.47</v>
      </c>
      <c r="E57">
        <v>12.6</v>
      </c>
      <c r="F57">
        <v>3267</v>
      </c>
      <c r="G57">
        <v>1.358</v>
      </c>
      <c r="J57" s="29" t="s">
        <v>158</v>
      </c>
      <c r="K57">
        <f>('Technické údaje'!$E$8*INDEX(U88:U93,$M$12,1)/1000)+INDEX(V88:V93,$M$12,1)</f>
        <v>37.186</v>
      </c>
      <c r="L57">
        <f>'Technické údaje'!$E$8*INDEX(W88:W93,$M$12,1)/1000</f>
        <v>7.32</v>
      </c>
      <c r="M57" s="84">
        <f>'Technické údaje'!$E$8*INDEX(X88:X93,$M$12,1)/1000</f>
        <v>1187.0910096155953</v>
      </c>
      <c r="N57" s="85">
        <f>INDEX(Y88:Y93,$M$12,1)</f>
        <v>1.2918</v>
      </c>
    </row>
    <row r="58" spans="10:14" ht="12.75">
      <c r="J58">
        <v>21</v>
      </c>
      <c r="K58">
        <f>('Technické údaje'!$E$8*INDEX(U95:U100,$M$12,1)/1000)+INDEX(V95:V100,$M$12,1)</f>
        <v>40.647999999999996</v>
      </c>
      <c r="L58">
        <f>'Technické údaje'!$E$8*INDEX(W95:W100,$M$12,1)/1000</f>
        <v>7.32</v>
      </c>
      <c r="M58" s="84">
        <f>'Technické údaje'!$E$8*INDEX(X95:X100,$M$12,1)/1000</f>
        <v>1382.4513513042564</v>
      </c>
      <c r="N58" s="85">
        <f>INDEX(Y95:Y100,$M$12,1)</f>
        <v>1.3312</v>
      </c>
    </row>
    <row r="59" spans="10:14" ht="12.75">
      <c r="J59">
        <v>22</v>
      </c>
      <c r="K59">
        <f>('Technické údaje'!$E$8*INDEX(U102:U107,$M$12,1)/1000)+INDEX(V102:V107,$M$12,1)</f>
        <v>45.622</v>
      </c>
      <c r="L59">
        <f>'Technické údaje'!$E$8*INDEX(W102:W107,$M$12,1)/1000</f>
        <v>7.38</v>
      </c>
      <c r="M59" s="84">
        <f>'Technické údaje'!$E$8*INDEX(X102:X107,$M$12,1)/1000</f>
        <v>1883.877249671721</v>
      </c>
      <c r="N59" s="85">
        <f>INDEX(Y102:Y107,$M$12,1)</f>
        <v>1.3133</v>
      </c>
    </row>
    <row r="60" spans="10:14" ht="12.75">
      <c r="J60">
        <v>30</v>
      </c>
      <c r="K60">
        <f>('Technické údaje'!$E$8*INDEX(U109:U114,$M$12,1)/1000)+INDEX(V109:V114,$M$12,1)</f>
        <v>52.959999999999994</v>
      </c>
      <c r="L60">
        <f>'Technické údaje'!$E$8*INDEX(W109:W114,$M$12,1)/1000</f>
        <v>10.8</v>
      </c>
      <c r="M60" s="84">
        <f>'Technické údaje'!$E$8*INDEX(X109:X114,$M$12,1)/1000</f>
        <v>1628.6707163275823</v>
      </c>
      <c r="N60" s="85">
        <f>INDEX(Y109:Y114,$M$12,1)</f>
        <v>1.2969</v>
      </c>
    </row>
    <row r="61" spans="10:14" ht="12.75">
      <c r="J61">
        <v>33</v>
      </c>
      <c r="K61">
        <f>('Technické údaje'!$E$8*INDEX(U116:U121,$M$12,1)/1000)+INDEX(V116:V121,$M$12,1)</f>
        <v>64.66</v>
      </c>
      <c r="L61">
        <f>'Technické údaje'!$E$8*INDEX(W116:W121,$M$12,1)/1000</f>
        <v>10.8</v>
      </c>
      <c r="M61" s="84">
        <f>'Technické údaje'!$E$8*INDEX(X116:X121,$M$12,1)/1000</f>
        <v>2705.431420435087</v>
      </c>
      <c r="N61" s="85">
        <f>INDEX(Y116:Y121,$M$12,1)</f>
        <v>1.3165</v>
      </c>
    </row>
    <row r="65" spans="2:20" ht="12.75">
      <c r="B65" s="52" t="s">
        <v>150</v>
      </c>
      <c r="K65" s="52" t="s">
        <v>144</v>
      </c>
      <c r="T65" s="52" t="s">
        <v>151</v>
      </c>
    </row>
    <row r="66" spans="1:25" ht="12.75">
      <c r="A66" s="51" t="s">
        <v>77</v>
      </c>
      <c r="B66" s="51" t="s">
        <v>78</v>
      </c>
      <c r="C66" s="51" t="s">
        <v>79</v>
      </c>
      <c r="D66" s="51"/>
      <c r="E66" s="51" t="s">
        <v>80</v>
      </c>
      <c r="F66" s="51" t="s">
        <v>81</v>
      </c>
      <c r="G66" s="51" t="s">
        <v>4</v>
      </c>
      <c r="J66" s="51" t="s">
        <v>77</v>
      </c>
      <c r="K66" s="51" t="s">
        <v>78</v>
      </c>
      <c r="L66" s="51" t="s">
        <v>79</v>
      </c>
      <c r="M66" s="51"/>
      <c r="N66" s="51" t="s">
        <v>80</v>
      </c>
      <c r="O66" s="51" t="s">
        <v>81</v>
      </c>
      <c r="P66" s="51" t="s">
        <v>4</v>
      </c>
      <c r="S66" s="51" t="s">
        <v>77</v>
      </c>
      <c r="T66" s="51" t="s">
        <v>78</v>
      </c>
      <c r="U66" s="51" t="s">
        <v>79</v>
      </c>
      <c r="V66" s="51"/>
      <c r="W66" s="51" t="s">
        <v>80</v>
      </c>
      <c r="X66" s="51" t="s">
        <v>81</v>
      </c>
      <c r="Y66" s="51" t="s">
        <v>4</v>
      </c>
    </row>
    <row r="67" spans="1:25" ht="12.75">
      <c r="A67">
        <v>10</v>
      </c>
      <c r="B67">
        <v>300</v>
      </c>
      <c r="C67">
        <v>9.015</v>
      </c>
      <c r="D67">
        <v>0.36</v>
      </c>
      <c r="E67">
        <v>1.81</v>
      </c>
      <c r="F67" s="84">
        <v>316</v>
      </c>
      <c r="G67" s="85">
        <v>1.269</v>
      </c>
      <c r="J67">
        <v>10</v>
      </c>
      <c r="K67">
        <v>300</v>
      </c>
      <c r="L67">
        <v>6.39</v>
      </c>
      <c r="M67">
        <v>0.574</v>
      </c>
      <c r="N67">
        <v>1.81</v>
      </c>
      <c r="O67">
        <v>342</v>
      </c>
      <c r="P67">
        <v>1.3187</v>
      </c>
      <c r="S67">
        <v>10</v>
      </c>
      <c r="T67">
        <v>300</v>
      </c>
      <c r="U67">
        <v>9.015</v>
      </c>
      <c r="V67">
        <v>0.574</v>
      </c>
      <c r="W67">
        <v>1.81</v>
      </c>
      <c r="X67" s="84">
        <v>316</v>
      </c>
      <c r="Y67" s="85">
        <v>1.269</v>
      </c>
    </row>
    <row r="68" spans="2:25" ht="12.75">
      <c r="B68">
        <v>400</v>
      </c>
      <c r="C68">
        <v>11.74</v>
      </c>
      <c r="D68">
        <v>0.36</v>
      </c>
      <c r="E68">
        <v>2.24</v>
      </c>
      <c r="F68" s="84">
        <v>399</v>
      </c>
      <c r="G68" s="85">
        <v>1.2674</v>
      </c>
      <c r="K68">
        <v>400</v>
      </c>
      <c r="L68">
        <v>8.24</v>
      </c>
      <c r="M68">
        <v>0.602</v>
      </c>
      <c r="N68">
        <v>2.24</v>
      </c>
      <c r="O68">
        <v>443</v>
      </c>
      <c r="P68">
        <v>1.3072</v>
      </c>
      <c r="T68">
        <v>400</v>
      </c>
      <c r="U68">
        <v>11.74</v>
      </c>
      <c r="V68">
        <v>0.602</v>
      </c>
      <c r="W68">
        <v>2.24</v>
      </c>
      <c r="X68" s="84">
        <v>399</v>
      </c>
      <c r="Y68" s="85">
        <v>1.2674</v>
      </c>
    </row>
    <row r="69" spans="2:25" ht="12.75">
      <c r="B69">
        <v>500</v>
      </c>
      <c r="C69">
        <v>14.615</v>
      </c>
      <c r="D69">
        <v>0.36</v>
      </c>
      <c r="E69">
        <v>2.67</v>
      </c>
      <c r="F69" s="84">
        <v>476</v>
      </c>
      <c r="G69" s="85">
        <v>1.2657</v>
      </c>
      <c r="K69">
        <v>500</v>
      </c>
      <c r="L69">
        <v>10.24</v>
      </c>
      <c r="M69">
        <v>0.63</v>
      </c>
      <c r="N69">
        <v>2.67</v>
      </c>
      <c r="O69">
        <v>536</v>
      </c>
      <c r="P69">
        <v>1.2958</v>
      </c>
      <c r="T69">
        <v>500</v>
      </c>
      <c r="U69">
        <v>14.615</v>
      </c>
      <c r="V69">
        <v>0.63</v>
      </c>
      <c r="W69">
        <v>2.67</v>
      </c>
      <c r="X69" s="84">
        <v>476</v>
      </c>
      <c r="Y69" s="85">
        <v>1.2657</v>
      </c>
    </row>
    <row r="70" spans="2:25" ht="12.75">
      <c r="B70">
        <v>550</v>
      </c>
      <c r="C70">
        <v>16.1875</v>
      </c>
      <c r="D70">
        <v>0.36</v>
      </c>
      <c r="E70">
        <v>2.8</v>
      </c>
      <c r="F70" s="84">
        <v>515</v>
      </c>
      <c r="G70" s="85">
        <v>1.2649</v>
      </c>
      <c r="W70">
        <v>2.8</v>
      </c>
      <c r="X70" s="84">
        <v>515</v>
      </c>
      <c r="Y70" s="85">
        <v>1.2649</v>
      </c>
    </row>
    <row r="71" spans="2:25" ht="12.75">
      <c r="B71">
        <v>600</v>
      </c>
      <c r="C71">
        <v>17.42</v>
      </c>
      <c r="D71">
        <v>0.36</v>
      </c>
      <c r="E71">
        <v>3.1</v>
      </c>
      <c r="F71" s="84">
        <v>548</v>
      </c>
      <c r="G71" s="85">
        <v>1.2641</v>
      </c>
      <c r="K71">
        <v>600</v>
      </c>
      <c r="L71">
        <v>12.17</v>
      </c>
      <c r="M71">
        <v>0.658</v>
      </c>
      <c r="N71">
        <v>3.1</v>
      </c>
      <c r="O71">
        <v>621</v>
      </c>
      <c r="P71">
        <v>1.2843</v>
      </c>
      <c r="T71">
        <v>600</v>
      </c>
      <c r="U71">
        <v>17.42</v>
      </c>
      <c r="V71">
        <v>0.658</v>
      </c>
      <c r="W71">
        <v>3.1</v>
      </c>
      <c r="X71" s="84">
        <v>548</v>
      </c>
      <c r="Y71" s="85">
        <v>1.2641</v>
      </c>
    </row>
    <row r="72" spans="2:25" ht="12.75">
      <c r="B72">
        <v>900</v>
      </c>
      <c r="C72">
        <v>25.835</v>
      </c>
      <c r="D72">
        <v>0.36</v>
      </c>
      <c r="E72">
        <v>4.3</v>
      </c>
      <c r="F72" s="84">
        <v>735</v>
      </c>
      <c r="G72" s="85">
        <v>1.2757</v>
      </c>
      <c r="K72">
        <v>900</v>
      </c>
      <c r="L72">
        <v>17.96</v>
      </c>
      <c r="M72">
        <v>0.742</v>
      </c>
      <c r="N72">
        <v>4.3</v>
      </c>
      <c r="O72">
        <v>829</v>
      </c>
      <c r="P72">
        <v>1.3216</v>
      </c>
      <c r="T72">
        <v>900</v>
      </c>
      <c r="U72">
        <v>25.835</v>
      </c>
      <c r="V72">
        <v>0.742</v>
      </c>
      <c r="W72">
        <v>4.3</v>
      </c>
      <c r="X72" s="84">
        <v>735</v>
      </c>
      <c r="Y72" s="85">
        <v>1.2757</v>
      </c>
    </row>
    <row r="73" spans="6:25" ht="12.75">
      <c r="F73" s="84"/>
      <c r="G73" s="85"/>
      <c r="X73" s="84"/>
      <c r="Y73" s="85"/>
    </row>
    <row r="74" spans="1:25" ht="12.75">
      <c r="A74">
        <v>11</v>
      </c>
      <c r="B74">
        <v>300</v>
      </c>
      <c r="C74">
        <f>C10+8.75*B10/1000</f>
        <v>12.645</v>
      </c>
      <c r="D74">
        <v>0.578</v>
      </c>
      <c r="E74">
        <v>1.81</v>
      </c>
      <c r="F74" s="84">
        <v>506</v>
      </c>
      <c r="G74" s="85">
        <v>1.279</v>
      </c>
      <c r="J74">
        <v>11</v>
      </c>
      <c r="K74">
        <v>300</v>
      </c>
      <c r="L74">
        <v>10.02</v>
      </c>
      <c r="M74">
        <v>0.792</v>
      </c>
      <c r="N74">
        <v>1.81</v>
      </c>
      <c r="O74">
        <v>545</v>
      </c>
      <c r="P74" s="12">
        <v>1.2912</v>
      </c>
      <c r="S74">
        <v>11</v>
      </c>
      <c r="T74">
        <v>300</v>
      </c>
      <c r="U74">
        <v>12.645</v>
      </c>
      <c r="V74">
        <v>0.792</v>
      </c>
      <c r="W74">
        <v>1.81</v>
      </c>
      <c r="X74" s="84">
        <v>506</v>
      </c>
      <c r="Y74" s="85">
        <v>1.279</v>
      </c>
    </row>
    <row r="75" spans="2:25" ht="12.75">
      <c r="B75">
        <v>400</v>
      </c>
      <c r="C75">
        <f>C11+8.75*B11/1000</f>
        <v>16.55</v>
      </c>
      <c r="D75">
        <v>0.65</v>
      </c>
      <c r="E75">
        <v>2.24</v>
      </c>
      <c r="F75" s="84">
        <v>624</v>
      </c>
      <c r="G75" s="85">
        <v>1.2797</v>
      </c>
      <c r="K75">
        <v>400</v>
      </c>
      <c r="L75">
        <v>13.05</v>
      </c>
      <c r="M75">
        <v>0.892</v>
      </c>
      <c r="N75">
        <v>2.24</v>
      </c>
      <c r="O75">
        <v>689</v>
      </c>
      <c r="P75" s="12">
        <v>1.2953</v>
      </c>
      <c r="T75">
        <v>400</v>
      </c>
      <c r="U75">
        <v>16.55</v>
      </c>
      <c r="V75">
        <v>0.892</v>
      </c>
      <c r="W75">
        <v>2.24</v>
      </c>
      <c r="X75" s="84">
        <v>624</v>
      </c>
      <c r="Y75" s="85">
        <v>1.2797</v>
      </c>
    </row>
    <row r="76" spans="2:25" ht="12.75">
      <c r="B76">
        <v>500</v>
      </c>
      <c r="C76">
        <f>C12+8.75*B12/1000</f>
        <v>20.705</v>
      </c>
      <c r="D76">
        <v>0.722</v>
      </c>
      <c r="E76">
        <v>2.67</v>
      </c>
      <c r="F76" s="84">
        <v>741</v>
      </c>
      <c r="G76" s="85">
        <v>1.2804</v>
      </c>
      <c r="K76">
        <v>500</v>
      </c>
      <c r="L76">
        <v>16.33</v>
      </c>
      <c r="M76">
        <v>0.992</v>
      </c>
      <c r="N76">
        <v>2.67</v>
      </c>
      <c r="O76">
        <v>826</v>
      </c>
      <c r="P76" s="12">
        <v>1.2994</v>
      </c>
      <c r="T76">
        <v>500</v>
      </c>
      <c r="U76">
        <v>20.705</v>
      </c>
      <c r="V76">
        <v>0.992</v>
      </c>
      <c r="W76">
        <v>2.67</v>
      </c>
      <c r="X76" s="84">
        <v>741</v>
      </c>
      <c r="Y76" s="85">
        <v>1.2804</v>
      </c>
    </row>
    <row r="77" spans="6:25" ht="12.75">
      <c r="F77" s="84"/>
      <c r="G77" s="85"/>
      <c r="P77" s="12"/>
      <c r="X77" s="84"/>
      <c r="Y77" s="85"/>
    </row>
    <row r="78" spans="2:25" ht="12.75">
      <c r="B78">
        <v>600</v>
      </c>
      <c r="C78">
        <f>C14+8.75*B14/1000</f>
        <v>24.41</v>
      </c>
      <c r="D78">
        <v>0.794</v>
      </c>
      <c r="E78">
        <v>3.1</v>
      </c>
      <c r="F78" s="84">
        <v>860</v>
      </c>
      <c r="G78" s="85">
        <v>1.2811</v>
      </c>
      <c r="K78">
        <v>600</v>
      </c>
      <c r="L78">
        <v>19.16</v>
      </c>
      <c r="M78">
        <v>1.092</v>
      </c>
      <c r="N78">
        <v>3.1</v>
      </c>
      <c r="O78">
        <v>1079</v>
      </c>
      <c r="P78" s="12">
        <v>1.3035</v>
      </c>
      <c r="T78">
        <v>600</v>
      </c>
      <c r="U78">
        <v>24.41</v>
      </c>
      <c r="V78">
        <v>1.092</v>
      </c>
      <c r="W78">
        <v>3.1</v>
      </c>
      <c r="X78" s="84">
        <v>860</v>
      </c>
      <c r="Y78" s="85">
        <v>1.2811</v>
      </c>
    </row>
    <row r="79" spans="2:25" ht="12.75">
      <c r="B79">
        <v>900</v>
      </c>
      <c r="C79">
        <f>C15+8.75*B15/1000</f>
        <v>36.335</v>
      </c>
      <c r="D79">
        <v>1.012</v>
      </c>
      <c r="E79">
        <v>4.3</v>
      </c>
      <c r="F79" s="84">
        <v>1237</v>
      </c>
      <c r="G79" s="85">
        <v>1.2732</v>
      </c>
      <c r="K79">
        <v>900</v>
      </c>
      <c r="L79">
        <v>28.46</v>
      </c>
      <c r="M79">
        <v>1.394</v>
      </c>
      <c r="N79">
        <v>4.3</v>
      </c>
      <c r="O79">
        <v>1345</v>
      </c>
      <c r="P79">
        <v>1.3237</v>
      </c>
      <c r="T79">
        <v>900</v>
      </c>
      <c r="U79">
        <v>36.335</v>
      </c>
      <c r="V79">
        <v>1.394</v>
      </c>
      <c r="W79">
        <v>4.3</v>
      </c>
      <c r="X79" s="84">
        <v>1237</v>
      </c>
      <c r="Y79" s="85">
        <v>1.2732</v>
      </c>
    </row>
    <row r="81" spans="1:25" ht="12.75">
      <c r="A81">
        <v>20</v>
      </c>
      <c r="B81">
        <v>300</v>
      </c>
      <c r="C81">
        <f aca="true" t="shared" si="0" ref="C81:C86">C17+8.75*B17/1000</f>
        <v>16.095</v>
      </c>
      <c r="D81">
        <v>0.586</v>
      </c>
      <c r="E81">
        <v>3.5</v>
      </c>
      <c r="F81" s="84">
        <v>510.68284927874106</v>
      </c>
      <c r="G81" s="85">
        <v>1.2547</v>
      </c>
      <c r="J81">
        <v>20</v>
      </c>
      <c r="K81">
        <v>300</v>
      </c>
      <c r="L81">
        <v>13.47</v>
      </c>
      <c r="M81">
        <v>0.784</v>
      </c>
      <c r="N81">
        <v>3.5</v>
      </c>
      <c r="O81">
        <v>559</v>
      </c>
      <c r="P81" s="106">
        <v>1.263</v>
      </c>
      <c r="S81">
        <v>20</v>
      </c>
      <c r="T81">
        <v>300</v>
      </c>
      <c r="U81">
        <v>16.095</v>
      </c>
      <c r="V81">
        <v>0.784</v>
      </c>
      <c r="W81">
        <v>3.5</v>
      </c>
      <c r="X81" s="84">
        <v>510.68284927874106</v>
      </c>
      <c r="Y81" s="85">
        <v>1.2547</v>
      </c>
    </row>
    <row r="82" spans="2:25" ht="12.75">
      <c r="B82">
        <v>400</v>
      </c>
      <c r="C82">
        <f t="shared" si="0"/>
        <v>20.55</v>
      </c>
      <c r="D82">
        <v>0.658</v>
      </c>
      <c r="E82">
        <v>4.37</v>
      </c>
      <c r="F82" s="84">
        <v>644.7194861805283</v>
      </c>
      <c r="G82" s="85">
        <v>1.2595</v>
      </c>
      <c r="K82">
        <v>400</v>
      </c>
      <c r="L82">
        <v>17.05</v>
      </c>
      <c r="M82">
        <v>0.892</v>
      </c>
      <c r="N82">
        <v>4.37</v>
      </c>
      <c r="O82">
        <v>697</v>
      </c>
      <c r="P82" s="107">
        <v>1.2693</v>
      </c>
      <c r="T82">
        <v>400</v>
      </c>
      <c r="U82">
        <v>20.55</v>
      </c>
      <c r="V82">
        <v>0.892</v>
      </c>
      <c r="W82">
        <v>4.37</v>
      </c>
      <c r="X82" s="84">
        <v>644.7194861805283</v>
      </c>
      <c r="Y82" s="85">
        <v>1.2595</v>
      </c>
    </row>
    <row r="83" spans="2:25" ht="12.75">
      <c r="B83">
        <v>500</v>
      </c>
      <c r="C83">
        <f t="shared" si="0"/>
        <v>24.945</v>
      </c>
      <c r="D83">
        <v>0.73</v>
      </c>
      <c r="E83">
        <v>5.23</v>
      </c>
      <c r="F83" s="84">
        <v>772.0435571418875</v>
      </c>
      <c r="G83" s="85">
        <v>1.2642</v>
      </c>
      <c r="K83">
        <v>500</v>
      </c>
      <c r="L83">
        <v>20.57</v>
      </c>
      <c r="M83">
        <v>1</v>
      </c>
      <c r="N83">
        <v>5.23</v>
      </c>
      <c r="O83">
        <v>832</v>
      </c>
      <c r="P83" s="106">
        <v>1.2755</v>
      </c>
      <c r="T83">
        <v>500</v>
      </c>
      <c r="U83">
        <v>24.945</v>
      </c>
      <c r="V83">
        <v>1</v>
      </c>
      <c r="W83">
        <v>5.23</v>
      </c>
      <c r="X83" s="84">
        <v>772.0435571418875</v>
      </c>
      <c r="Y83" s="85">
        <v>1.2642</v>
      </c>
    </row>
    <row r="84" spans="2:25" ht="12.75">
      <c r="B84">
        <v>550</v>
      </c>
      <c r="C84">
        <f t="shared" si="0"/>
        <v>27.6025</v>
      </c>
      <c r="D84">
        <v>0.756</v>
      </c>
      <c r="E84">
        <v>5.3</v>
      </c>
      <c r="F84" s="84">
        <v>838.549560824283</v>
      </c>
      <c r="G84" s="85">
        <v>1.2668</v>
      </c>
      <c r="P84" s="106"/>
      <c r="W84">
        <v>5.3</v>
      </c>
      <c r="X84" s="84">
        <v>838.549560824283</v>
      </c>
      <c r="Y84" s="85">
        <v>1.2668</v>
      </c>
    </row>
    <row r="85" spans="2:25" ht="12.75">
      <c r="B85">
        <v>600</v>
      </c>
      <c r="C85">
        <f t="shared" si="0"/>
        <v>29.9</v>
      </c>
      <c r="D85">
        <v>0.802</v>
      </c>
      <c r="E85">
        <v>6.1</v>
      </c>
      <c r="F85" s="84">
        <v>894.123236528103</v>
      </c>
      <c r="G85" s="85">
        <v>1.269</v>
      </c>
      <c r="K85">
        <v>600</v>
      </c>
      <c r="L85">
        <v>24.65</v>
      </c>
      <c r="M85">
        <v>1.108</v>
      </c>
      <c r="N85">
        <v>6.1</v>
      </c>
      <c r="O85">
        <v>966</v>
      </c>
      <c r="P85" s="106">
        <v>1.2818</v>
      </c>
      <c r="T85">
        <v>600</v>
      </c>
      <c r="U85">
        <v>29.9</v>
      </c>
      <c r="V85">
        <v>1.108</v>
      </c>
      <c r="W85">
        <v>6.1</v>
      </c>
      <c r="X85" s="84">
        <v>894.123236528103</v>
      </c>
      <c r="Y85" s="85">
        <v>1.269</v>
      </c>
    </row>
    <row r="86" spans="2:25" ht="12.75">
      <c r="B86">
        <v>900</v>
      </c>
      <c r="C86">
        <f t="shared" si="0"/>
        <v>44.395</v>
      </c>
      <c r="D86">
        <v>1.02</v>
      </c>
      <c r="E86">
        <v>8.5</v>
      </c>
      <c r="F86" s="84">
        <v>1236.9436049051178</v>
      </c>
      <c r="G86" s="85">
        <v>1.2956</v>
      </c>
      <c r="K86">
        <v>900</v>
      </c>
      <c r="L86">
        <v>36.52</v>
      </c>
      <c r="M86">
        <v>1.434</v>
      </c>
      <c r="N86">
        <v>8.5</v>
      </c>
      <c r="O86">
        <v>1369</v>
      </c>
      <c r="P86" s="106">
        <v>1.3094</v>
      </c>
      <c r="T86">
        <v>900</v>
      </c>
      <c r="U86">
        <v>44.395</v>
      </c>
      <c r="V86">
        <v>1.434</v>
      </c>
      <c r="W86">
        <v>8.5</v>
      </c>
      <c r="X86" s="84">
        <v>1236.9436049051178</v>
      </c>
      <c r="Y86" s="85">
        <v>1.2956</v>
      </c>
    </row>
    <row r="87" spans="6:25" ht="12.75">
      <c r="F87" s="84"/>
      <c r="G87" s="85"/>
      <c r="X87" s="84"/>
      <c r="Y87" s="85"/>
    </row>
    <row r="88" spans="1:25" ht="12.75">
      <c r="A88" s="29" t="s">
        <v>158</v>
      </c>
      <c r="B88">
        <v>300</v>
      </c>
      <c r="C88">
        <f aca="true" t="shared" si="1" ref="C88:C93">C24+8.75*B24/1000</f>
        <v>16.095</v>
      </c>
      <c r="D88">
        <v>0.954</v>
      </c>
      <c r="E88">
        <v>3.5</v>
      </c>
      <c r="F88" s="84">
        <v>559.3549377406785</v>
      </c>
      <c r="G88" s="85">
        <v>1.3088</v>
      </c>
      <c r="J88" s="29" t="s">
        <v>158</v>
      </c>
      <c r="K88">
        <v>300</v>
      </c>
      <c r="L88">
        <v>13.47</v>
      </c>
      <c r="M88">
        <v>0.954</v>
      </c>
      <c r="N88">
        <v>3.5</v>
      </c>
      <c r="O88">
        <v>612</v>
      </c>
      <c r="P88">
        <v>1.2897</v>
      </c>
      <c r="S88" s="29" t="s">
        <v>158</v>
      </c>
      <c r="T88">
        <v>300</v>
      </c>
      <c r="U88">
        <v>16.095</v>
      </c>
      <c r="V88">
        <v>0.954</v>
      </c>
      <c r="W88">
        <v>3.5</v>
      </c>
      <c r="X88" s="84">
        <v>559.3549377406785</v>
      </c>
      <c r="Y88" s="85">
        <v>1.3088</v>
      </c>
    </row>
    <row r="89" spans="2:25" ht="12.75">
      <c r="B89">
        <v>400</v>
      </c>
      <c r="C89">
        <f t="shared" si="1"/>
        <v>20.55</v>
      </c>
      <c r="D89">
        <v>1.072</v>
      </c>
      <c r="E89">
        <v>4.37</v>
      </c>
      <c r="F89" s="84">
        <v>711.2385635920258</v>
      </c>
      <c r="G89" s="85">
        <v>1.3033</v>
      </c>
      <c r="K89">
        <v>400</v>
      </c>
      <c r="L89">
        <v>17.05</v>
      </c>
      <c r="M89">
        <v>1.072</v>
      </c>
      <c r="N89">
        <v>4.37</v>
      </c>
      <c r="O89">
        <v>769</v>
      </c>
      <c r="P89">
        <v>1.2953</v>
      </c>
      <c r="T89">
        <v>400</v>
      </c>
      <c r="U89">
        <v>20.55</v>
      </c>
      <c r="V89">
        <v>1.072</v>
      </c>
      <c r="W89">
        <v>4.37</v>
      </c>
      <c r="X89" s="84">
        <v>711.2385635920258</v>
      </c>
      <c r="Y89" s="85">
        <v>1.3033</v>
      </c>
    </row>
    <row r="90" spans="2:25" ht="12.75">
      <c r="B90">
        <v>500</v>
      </c>
      <c r="C90">
        <f t="shared" si="1"/>
        <v>24.945</v>
      </c>
      <c r="D90">
        <v>1.19</v>
      </c>
      <c r="E90">
        <v>5.23</v>
      </c>
      <c r="F90" s="84">
        <v>854.106654560758</v>
      </c>
      <c r="G90" s="85">
        <v>1.2977</v>
      </c>
      <c r="K90">
        <v>500</v>
      </c>
      <c r="L90">
        <v>20.57</v>
      </c>
      <c r="M90">
        <v>1.19</v>
      </c>
      <c r="N90">
        <v>5.23</v>
      </c>
      <c r="O90">
        <v>920</v>
      </c>
      <c r="P90">
        <v>1.301</v>
      </c>
      <c r="T90">
        <v>500</v>
      </c>
      <c r="U90">
        <v>24.945</v>
      </c>
      <c r="V90">
        <v>1.19</v>
      </c>
      <c r="W90">
        <v>5.23</v>
      </c>
      <c r="X90" s="84">
        <v>854.106654560758</v>
      </c>
      <c r="Y90" s="85">
        <v>1.2977</v>
      </c>
    </row>
    <row r="91" spans="2:25" ht="12.75">
      <c r="B91">
        <v>550</v>
      </c>
      <c r="C91">
        <f t="shared" si="1"/>
        <v>27.6025</v>
      </c>
      <c r="D91">
        <v>1.266</v>
      </c>
      <c r="E91">
        <v>5.3</v>
      </c>
      <c r="F91" s="84">
        <v>927.9779600022325</v>
      </c>
      <c r="G91" s="85">
        <v>1.2909</v>
      </c>
      <c r="W91">
        <v>5.3</v>
      </c>
      <c r="X91" s="84">
        <v>927.9779600022325</v>
      </c>
      <c r="Y91" s="85">
        <v>1.2909</v>
      </c>
    </row>
    <row r="92" spans="2:25" ht="12.75">
      <c r="B92">
        <v>600</v>
      </c>
      <c r="C92">
        <f t="shared" si="1"/>
        <v>29.9</v>
      </c>
      <c r="D92">
        <v>1.306</v>
      </c>
      <c r="E92">
        <v>6.1</v>
      </c>
      <c r="F92" s="84">
        <v>989.2425080129962</v>
      </c>
      <c r="G92" s="85">
        <v>1.2918</v>
      </c>
      <c r="K92">
        <v>600</v>
      </c>
      <c r="L92">
        <v>24.65</v>
      </c>
      <c r="M92">
        <v>1.306</v>
      </c>
      <c r="N92">
        <v>6.1</v>
      </c>
      <c r="O92">
        <v>1068</v>
      </c>
      <c r="P92">
        <v>1.3066</v>
      </c>
      <c r="T92">
        <v>600</v>
      </c>
      <c r="U92">
        <v>29.9</v>
      </c>
      <c r="V92">
        <v>1.306</v>
      </c>
      <c r="W92">
        <v>6.1</v>
      </c>
      <c r="X92" s="84">
        <v>989.2425080129962</v>
      </c>
      <c r="Y92" s="85">
        <v>1.2918</v>
      </c>
    </row>
    <row r="93" spans="2:25" ht="12.75">
      <c r="B93">
        <v>900</v>
      </c>
      <c r="C93">
        <f t="shared" si="1"/>
        <v>44.395</v>
      </c>
      <c r="D93">
        <v>1.66</v>
      </c>
      <c r="E93">
        <v>8.5</v>
      </c>
      <c r="F93" s="84">
        <v>1355.9173332000398</v>
      </c>
      <c r="G93" s="85">
        <v>1.2659</v>
      </c>
      <c r="K93">
        <v>900</v>
      </c>
      <c r="L93">
        <v>36.52</v>
      </c>
      <c r="M93">
        <v>1.66</v>
      </c>
      <c r="N93">
        <v>8.5</v>
      </c>
      <c r="O93">
        <v>1500</v>
      </c>
      <c r="P93">
        <v>1.3162</v>
      </c>
      <c r="T93">
        <v>900</v>
      </c>
      <c r="U93">
        <v>44.395</v>
      </c>
      <c r="V93">
        <v>1.66</v>
      </c>
      <c r="W93">
        <v>8.5</v>
      </c>
      <c r="X93" s="84">
        <v>1355.9173332000398</v>
      </c>
      <c r="Y93" s="85">
        <v>1.2659</v>
      </c>
    </row>
    <row r="94" spans="6:25" ht="12.75">
      <c r="F94" s="84"/>
      <c r="G94" s="85"/>
      <c r="X94" s="84"/>
      <c r="Y94" s="85"/>
    </row>
    <row r="95" spans="1:25" ht="12.75">
      <c r="A95">
        <v>21</v>
      </c>
      <c r="B95">
        <v>300</v>
      </c>
      <c r="C95">
        <f aca="true" t="shared" si="2" ref="C95:C100">C31+8.75*B31/1000</f>
        <v>17.005000000000003</v>
      </c>
      <c r="D95">
        <v>0.586</v>
      </c>
      <c r="E95">
        <v>3.5</v>
      </c>
      <c r="F95" s="84">
        <v>696.5825171318795</v>
      </c>
      <c r="G95" s="85">
        <v>1.3015</v>
      </c>
      <c r="J95">
        <v>21</v>
      </c>
      <c r="K95">
        <v>300</v>
      </c>
      <c r="L95">
        <v>14.38</v>
      </c>
      <c r="M95">
        <v>0.784</v>
      </c>
      <c r="N95">
        <v>3.5</v>
      </c>
      <c r="O95">
        <v>752</v>
      </c>
      <c r="P95" s="12">
        <v>1.3239</v>
      </c>
      <c r="S95">
        <v>21</v>
      </c>
      <c r="T95">
        <v>300</v>
      </c>
      <c r="U95">
        <v>17.005</v>
      </c>
      <c r="V95">
        <v>0.784</v>
      </c>
      <c r="W95">
        <v>3.5</v>
      </c>
      <c r="X95" s="84">
        <v>696.5825171318795</v>
      </c>
      <c r="Y95" s="85">
        <v>1.3015</v>
      </c>
    </row>
    <row r="96" spans="2:25" ht="12.75">
      <c r="B96">
        <v>400</v>
      </c>
      <c r="C96">
        <f t="shared" si="2"/>
        <v>22.3</v>
      </c>
      <c r="D96">
        <v>0.658</v>
      </c>
      <c r="E96">
        <v>4.37</v>
      </c>
      <c r="F96" s="84">
        <v>855.1956663962094</v>
      </c>
      <c r="G96" s="85">
        <v>1.3114</v>
      </c>
      <c r="K96">
        <v>400</v>
      </c>
      <c r="L96">
        <v>18.8</v>
      </c>
      <c r="M96">
        <v>0.892</v>
      </c>
      <c r="N96">
        <v>4.37</v>
      </c>
      <c r="O96">
        <v>937</v>
      </c>
      <c r="P96" s="12">
        <v>1.3338</v>
      </c>
      <c r="T96">
        <v>400</v>
      </c>
      <c r="U96">
        <v>22.3</v>
      </c>
      <c r="V96">
        <v>0.892</v>
      </c>
      <c r="W96">
        <v>4.37</v>
      </c>
      <c r="X96" s="84">
        <v>855.1956663962094</v>
      </c>
      <c r="Y96" s="85">
        <v>1.3114</v>
      </c>
    </row>
    <row r="97" spans="2:25" ht="12.75">
      <c r="B97">
        <v>500</v>
      </c>
      <c r="C97">
        <f t="shared" si="2"/>
        <v>27.625</v>
      </c>
      <c r="D97">
        <v>0.73</v>
      </c>
      <c r="E97">
        <v>5.23</v>
      </c>
      <c r="F97" s="84">
        <v>1006.0686458687254</v>
      </c>
      <c r="G97" s="85">
        <v>1.3213</v>
      </c>
      <c r="K97">
        <v>500</v>
      </c>
      <c r="L97">
        <v>23.25</v>
      </c>
      <c r="M97">
        <v>1</v>
      </c>
      <c r="N97">
        <v>5.23</v>
      </c>
      <c r="O97">
        <v>1115</v>
      </c>
      <c r="P97" s="12">
        <v>1.3437</v>
      </c>
      <c r="T97">
        <v>500</v>
      </c>
      <c r="U97">
        <v>27.625</v>
      </c>
      <c r="V97">
        <v>1</v>
      </c>
      <c r="W97">
        <v>5.23</v>
      </c>
      <c r="X97" s="84">
        <v>1006.0686458687254</v>
      </c>
      <c r="Y97" s="85">
        <v>1.3213</v>
      </c>
    </row>
    <row r="98" spans="2:25" ht="12.75">
      <c r="B98">
        <v>550</v>
      </c>
      <c r="C98">
        <f t="shared" si="2"/>
        <v>31.0525</v>
      </c>
      <c r="D98">
        <v>0.756</v>
      </c>
      <c r="E98">
        <v>5.3</v>
      </c>
      <c r="F98" s="84">
        <v>1085.3750217393392</v>
      </c>
      <c r="G98" s="85">
        <v>1.3266</v>
      </c>
      <c r="P98" s="12"/>
      <c r="W98">
        <v>5.3</v>
      </c>
      <c r="X98" s="84">
        <v>1085.3750217393392</v>
      </c>
      <c r="Y98" s="85">
        <v>1.3266</v>
      </c>
    </row>
    <row r="99" spans="2:25" ht="12.75">
      <c r="B99">
        <v>600</v>
      </c>
      <c r="C99">
        <f t="shared" si="2"/>
        <v>32.95</v>
      </c>
      <c r="D99">
        <v>0.802</v>
      </c>
      <c r="E99">
        <v>6.1</v>
      </c>
      <c r="F99" s="84">
        <v>1152.042792753547</v>
      </c>
      <c r="G99" s="85">
        <v>1.3312</v>
      </c>
      <c r="K99">
        <v>600</v>
      </c>
      <c r="L99">
        <v>27.7</v>
      </c>
      <c r="M99">
        <v>1.108</v>
      </c>
      <c r="N99">
        <v>6.1</v>
      </c>
      <c r="O99">
        <v>1287</v>
      </c>
      <c r="P99" s="12">
        <v>1.3536</v>
      </c>
      <c r="T99">
        <v>600</v>
      </c>
      <c r="U99">
        <v>32.95</v>
      </c>
      <c r="V99">
        <v>1.108</v>
      </c>
      <c r="W99">
        <v>6.1</v>
      </c>
      <c r="X99" s="84">
        <v>1152.042792753547</v>
      </c>
      <c r="Y99" s="85">
        <v>1.3312</v>
      </c>
    </row>
    <row r="100" spans="2:25" ht="12.75">
      <c r="B100">
        <v>900</v>
      </c>
      <c r="C100">
        <f t="shared" si="2"/>
        <v>49.445</v>
      </c>
      <c r="D100">
        <v>1.02</v>
      </c>
      <c r="E100">
        <v>8.5</v>
      </c>
      <c r="F100" s="84">
        <v>1575.2995745951334</v>
      </c>
      <c r="G100" s="85">
        <v>1.3369</v>
      </c>
      <c r="K100">
        <v>900</v>
      </c>
      <c r="L100">
        <v>41.57</v>
      </c>
      <c r="M100">
        <v>1.434</v>
      </c>
      <c r="N100">
        <v>8.5</v>
      </c>
      <c r="O100">
        <v>1788</v>
      </c>
      <c r="P100" s="12">
        <v>1.3507</v>
      </c>
      <c r="T100">
        <v>900</v>
      </c>
      <c r="U100">
        <v>49.445</v>
      </c>
      <c r="V100">
        <v>1.434</v>
      </c>
      <c r="W100">
        <v>8.5</v>
      </c>
      <c r="X100" s="84">
        <v>1575.2995745951334</v>
      </c>
      <c r="Y100" s="85">
        <v>1.3369</v>
      </c>
    </row>
    <row r="101" spans="6:25" ht="12.75">
      <c r="F101" s="84"/>
      <c r="G101" s="85"/>
      <c r="X101" s="84"/>
      <c r="Y101" s="85"/>
    </row>
    <row r="102" spans="1:25" ht="12.75">
      <c r="A102">
        <v>22</v>
      </c>
      <c r="B102">
        <v>300</v>
      </c>
      <c r="C102">
        <f aca="true" t="shared" si="3" ref="C102:C107">C38+8.75*B38/1000</f>
        <v>18.805</v>
      </c>
      <c r="D102">
        <v>0.954</v>
      </c>
      <c r="E102" s="103">
        <v>3.55</v>
      </c>
      <c r="F102" s="84">
        <v>912.5749144648702</v>
      </c>
      <c r="G102" s="85">
        <v>1.3011</v>
      </c>
      <c r="J102">
        <v>22</v>
      </c>
      <c r="K102">
        <v>300</v>
      </c>
      <c r="L102">
        <v>16.18</v>
      </c>
      <c r="M102">
        <v>1.146</v>
      </c>
      <c r="N102" s="103">
        <v>3.55</v>
      </c>
      <c r="O102">
        <v>983</v>
      </c>
      <c r="P102">
        <v>1.3087</v>
      </c>
      <c r="S102">
        <v>22</v>
      </c>
      <c r="T102">
        <v>300</v>
      </c>
      <c r="U102">
        <v>18.805</v>
      </c>
      <c r="V102">
        <v>1.146</v>
      </c>
      <c r="W102" s="103">
        <v>3.55</v>
      </c>
      <c r="X102" s="84">
        <v>912.5749144648702</v>
      </c>
      <c r="Y102" s="85">
        <v>1.3011</v>
      </c>
    </row>
    <row r="103" spans="2:25" ht="12.75">
      <c r="B103">
        <v>400</v>
      </c>
      <c r="C103">
        <f t="shared" si="3"/>
        <v>25.42</v>
      </c>
      <c r="D103">
        <v>1.072</v>
      </c>
      <c r="E103" s="103">
        <v>4.42</v>
      </c>
      <c r="F103" s="84">
        <v>1145.9199884811435</v>
      </c>
      <c r="G103" s="85">
        <v>1.3052</v>
      </c>
      <c r="K103">
        <v>400</v>
      </c>
      <c r="L103">
        <v>21.92</v>
      </c>
      <c r="M103">
        <v>1.296</v>
      </c>
      <c r="N103" s="103">
        <v>4.42</v>
      </c>
      <c r="O103">
        <v>1233</v>
      </c>
      <c r="P103">
        <v>1.3168</v>
      </c>
      <c r="T103">
        <v>400</v>
      </c>
      <c r="U103">
        <v>25.42</v>
      </c>
      <c r="V103">
        <v>1.296</v>
      </c>
      <c r="W103" s="103">
        <v>4.42</v>
      </c>
      <c r="X103" s="84">
        <v>1145.9199884811435</v>
      </c>
      <c r="Y103" s="85">
        <v>1.3052</v>
      </c>
    </row>
    <row r="104" spans="2:25" ht="12.75">
      <c r="B104">
        <v>500</v>
      </c>
      <c r="C104">
        <f t="shared" si="3"/>
        <v>30.785</v>
      </c>
      <c r="D104">
        <v>1.19</v>
      </c>
      <c r="E104" s="103">
        <v>5.28</v>
      </c>
      <c r="F104" s="84">
        <v>1364.1045834282465</v>
      </c>
      <c r="G104" s="85">
        <v>1.3092</v>
      </c>
      <c r="K104">
        <v>500</v>
      </c>
      <c r="L104">
        <v>26.41</v>
      </c>
      <c r="M104">
        <v>1.446</v>
      </c>
      <c r="N104" s="103">
        <v>5.28</v>
      </c>
      <c r="O104">
        <v>1470</v>
      </c>
      <c r="P104">
        <v>1.325</v>
      </c>
      <c r="T104">
        <v>500</v>
      </c>
      <c r="U104">
        <v>30.785</v>
      </c>
      <c r="V104">
        <v>1.446</v>
      </c>
      <c r="W104" s="103">
        <v>5.28</v>
      </c>
      <c r="X104" s="84">
        <v>1364.1045834282465</v>
      </c>
      <c r="Y104" s="85">
        <v>1.3092</v>
      </c>
    </row>
    <row r="105" spans="2:25" ht="12.75">
      <c r="B105">
        <v>550</v>
      </c>
      <c r="C105">
        <f t="shared" si="3"/>
        <v>34.7425</v>
      </c>
      <c r="D105">
        <v>1.266</v>
      </c>
      <c r="E105" s="103">
        <v>5.35</v>
      </c>
      <c r="F105" s="84">
        <v>1476.6408678984772</v>
      </c>
      <c r="G105" s="85">
        <v>1.3114</v>
      </c>
      <c r="N105" s="103"/>
      <c r="W105" s="103">
        <v>5.35</v>
      </c>
      <c r="X105" s="84">
        <v>1476.6408678984772</v>
      </c>
      <c r="Y105" s="85">
        <v>1.3114</v>
      </c>
    </row>
    <row r="106" spans="2:25" ht="12.75">
      <c r="B106">
        <v>600</v>
      </c>
      <c r="C106">
        <f t="shared" si="3"/>
        <v>36.69</v>
      </c>
      <c r="D106">
        <v>1.306</v>
      </c>
      <c r="E106" s="103">
        <v>6.15</v>
      </c>
      <c r="F106" s="84">
        <v>1569.8977080597676</v>
      </c>
      <c r="G106" s="85">
        <v>1.3133</v>
      </c>
      <c r="K106">
        <v>600</v>
      </c>
      <c r="L106">
        <v>31.44</v>
      </c>
      <c r="M106">
        <v>1.594</v>
      </c>
      <c r="N106" s="103">
        <v>6.15</v>
      </c>
      <c r="O106">
        <v>1698</v>
      </c>
      <c r="P106">
        <v>1.3331</v>
      </c>
      <c r="T106">
        <v>600</v>
      </c>
      <c r="U106">
        <v>36.69</v>
      </c>
      <c r="V106">
        <v>1.594</v>
      </c>
      <c r="W106" s="103">
        <v>6.15</v>
      </c>
      <c r="X106" s="84">
        <v>1569.8977080597676</v>
      </c>
      <c r="Y106" s="85">
        <v>1.3133</v>
      </c>
    </row>
    <row r="107" spans="2:25" ht="12.75">
      <c r="B107">
        <v>900</v>
      </c>
      <c r="C107">
        <f t="shared" si="3"/>
        <v>54.515</v>
      </c>
      <c r="D107">
        <v>1.66</v>
      </c>
      <c r="E107" s="103">
        <v>8.55</v>
      </c>
      <c r="F107" s="84">
        <v>2128.597275320575</v>
      </c>
      <c r="G107" s="85">
        <v>1.3199</v>
      </c>
      <c r="K107">
        <v>900</v>
      </c>
      <c r="L107">
        <v>46.64</v>
      </c>
      <c r="M107">
        <v>2.044</v>
      </c>
      <c r="N107" s="103">
        <v>8.55</v>
      </c>
      <c r="O107">
        <v>2348</v>
      </c>
      <c r="P107">
        <v>1.3348</v>
      </c>
      <c r="T107">
        <v>900</v>
      </c>
      <c r="U107">
        <v>54.515</v>
      </c>
      <c r="V107">
        <v>2.044</v>
      </c>
      <c r="W107" s="103">
        <v>8.55</v>
      </c>
      <c r="X107" s="84">
        <v>2128.597275320575</v>
      </c>
      <c r="Y107" s="85">
        <v>1.3199</v>
      </c>
    </row>
    <row r="108" spans="6:25" ht="12.75">
      <c r="F108" s="84"/>
      <c r="G108" s="85"/>
      <c r="X108" s="84"/>
      <c r="Y108" s="85"/>
    </row>
    <row r="109" spans="1:25" ht="12.75">
      <c r="A109">
        <v>30</v>
      </c>
      <c r="B109">
        <v>300</v>
      </c>
      <c r="C109">
        <f aca="true" t="shared" si="4" ref="C109:C114">C45+8.75*B45/1000</f>
        <v>22.825</v>
      </c>
      <c r="D109">
        <v>1.402</v>
      </c>
      <c r="E109">
        <v>5.2</v>
      </c>
      <c r="F109" s="84">
        <v>784.96115580359</v>
      </c>
      <c r="G109" s="85">
        <v>1.2911</v>
      </c>
      <c r="J109">
        <v>30</v>
      </c>
      <c r="K109">
        <v>300</v>
      </c>
      <c r="L109">
        <v>20.2</v>
      </c>
      <c r="M109">
        <v>1.594</v>
      </c>
      <c r="N109">
        <v>5.2</v>
      </c>
      <c r="O109">
        <v>828</v>
      </c>
      <c r="P109">
        <v>1.2831</v>
      </c>
      <c r="S109">
        <v>30</v>
      </c>
      <c r="T109">
        <v>300</v>
      </c>
      <c r="U109">
        <v>22.825</v>
      </c>
      <c r="V109">
        <v>1.594</v>
      </c>
      <c r="W109">
        <v>5.2</v>
      </c>
      <c r="X109" s="84">
        <v>784.96115580359</v>
      </c>
      <c r="Y109" s="85">
        <v>1.2911</v>
      </c>
    </row>
    <row r="110" spans="2:25" ht="12.75">
      <c r="B110">
        <v>400</v>
      </c>
      <c r="C110">
        <f t="shared" si="4"/>
        <v>29.31</v>
      </c>
      <c r="D110">
        <v>1.58</v>
      </c>
      <c r="E110">
        <v>6.47</v>
      </c>
      <c r="F110" s="84">
        <v>981.756914998157</v>
      </c>
      <c r="G110" s="85">
        <v>1.293</v>
      </c>
      <c r="K110">
        <v>400</v>
      </c>
      <c r="L110">
        <v>25.81</v>
      </c>
      <c r="M110">
        <v>1.804</v>
      </c>
      <c r="N110">
        <v>6.47</v>
      </c>
      <c r="O110">
        <v>1044</v>
      </c>
      <c r="P110">
        <v>1.2939</v>
      </c>
      <c r="T110">
        <v>400</v>
      </c>
      <c r="U110">
        <v>29.31</v>
      </c>
      <c r="V110">
        <v>1.804</v>
      </c>
      <c r="W110">
        <v>6.47</v>
      </c>
      <c r="X110" s="84">
        <v>981.756914998157</v>
      </c>
      <c r="Y110" s="85">
        <v>1.293</v>
      </c>
    </row>
    <row r="111" spans="2:25" ht="12.75">
      <c r="B111">
        <v>500</v>
      </c>
      <c r="C111">
        <f t="shared" si="4"/>
        <v>35.795</v>
      </c>
      <c r="D111">
        <v>1.758</v>
      </c>
      <c r="E111">
        <v>7.73</v>
      </c>
      <c r="F111" s="84">
        <v>1171.5880400007488</v>
      </c>
      <c r="G111" s="85">
        <v>1.295</v>
      </c>
      <c r="K111">
        <v>500</v>
      </c>
      <c r="L111">
        <v>31.42</v>
      </c>
      <c r="M111">
        <v>2.014</v>
      </c>
      <c r="N111">
        <v>7.73</v>
      </c>
      <c r="O111">
        <v>1253</v>
      </c>
      <c r="P111">
        <v>1.3048</v>
      </c>
      <c r="T111">
        <v>500</v>
      </c>
      <c r="U111">
        <v>35.795</v>
      </c>
      <c r="V111">
        <v>2.014</v>
      </c>
      <c r="W111">
        <v>7.73</v>
      </c>
      <c r="X111" s="84">
        <v>1171.5880400007488</v>
      </c>
      <c r="Y111" s="85">
        <v>1.295</v>
      </c>
    </row>
    <row r="112" spans="2:25" ht="12.75">
      <c r="B112">
        <v>550</v>
      </c>
      <c r="C112">
        <f t="shared" si="4"/>
        <v>38.9025</v>
      </c>
      <c r="D112">
        <v>1.865</v>
      </c>
      <c r="E112">
        <v>8.15</v>
      </c>
      <c r="F112" s="84">
        <v>1272.2267077366455</v>
      </c>
      <c r="G112" s="85">
        <v>1.296</v>
      </c>
      <c r="W112">
        <v>8.15</v>
      </c>
      <c r="X112" s="84">
        <v>1272.2267077366455</v>
      </c>
      <c r="Y112" s="85">
        <v>1.296</v>
      </c>
    </row>
    <row r="113" spans="2:25" ht="12.75">
      <c r="B113">
        <v>600</v>
      </c>
      <c r="C113">
        <f t="shared" si="4"/>
        <v>42.28</v>
      </c>
      <c r="D113">
        <v>1.936</v>
      </c>
      <c r="E113">
        <v>9</v>
      </c>
      <c r="F113" s="84">
        <v>1357.225596939652</v>
      </c>
      <c r="G113" s="85">
        <v>1.2969</v>
      </c>
      <c r="K113">
        <v>600</v>
      </c>
      <c r="L113">
        <v>37.03</v>
      </c>
      <c r="M113">
        <v>2.224</v>
      </c>
      <c r="N113">
        <v>9</v>
      </c>
      <c r="O113">
        <v>1455</v>
      </c>
      <c r="P113">
        <v>1.3156</v>
      </c>
      <c r="T113">
        <v>600</v>
      </c>
      <c r="U113">
        <v>42.28</v>
      </c>
      <c r="V113">
        <v>2.224</v>
      </c>
      <c r="W113">
        <v>9</v>
      </c>
      <c r="X113" s="84">
        <v>1357.225596939652</v>
      </c>
      <c r="Y113" s="85">
        <v>1.2969</v>
      </c>
    </row>
    <row r="114" spans="2:25" ht="12.75">
      <c r="B114">
        <v>900</v>
      </c>
      <c r="C114">
        <f t="shared" si="4"/>
        <v>61.745</v>
      </c>
      <c r="D114">
        <v>2.47</v>
      </c>
      <c r="E114">
        <v>12.6</v>
      </c>
      <c r="F114" s="84">
        <v>1903.662581019614</v>
      </c>
      <c r="G114" s="85">
        <v>1.3116</v>
      </c>
      <c r="K114">
        <v>900</v>
      </c>
      <c r="L114">
        <v>53.87</v>
      </c>
      <c r="M114">
        <v>2.854</v>
      </c>
      <c r="N114">
        <v>12.6</v>
      </c>
      <c r="O114">
        <v>2040</v>
      </c>
      <c r="P114">
        <v>1.3192</v>
      </c>
      <c r="T114">
        <v>900</v>
      </c>
      <c r="U114">
        <v>61.745</v>
      </c>
      <c r="V114">
        <v>2.854</v>
      </c>
      <c r="W114">
        <v>12.6</v>
      </c>
      <c r="X114" s="84">
        <v>1903.662581019614</v>
      </c>
      <c r="Y114" s="85">
        <v>1.3116</v>
      </c>
    </row>
    <row r="115" spans="6:25" ht="12.75">
      <c r="F115" s="84"/>
      <c r="G115" s="85"/>
      <c r="X115" s="84"/>
      <c r="Y115" s="85"/>
    </row>
    <row r="116" spans="1:25" ht="12.75">
      <c r="A116">
        <v>33</v>
      </c>
      <c r="B116">
        <v>300</v>
      </c>
      <c r="C116">
        <f aca="true" t="shared" si="5" ref="C116:C121">C52+8.75*B52/1000</f>
        <v>26.535</v>
      </c>
      <c r="D116">
        <v>1.402</v>
      </c>
      <c r="E116">
        <v>5.2</v>
      </c>
      <c r="F116" s="84">
        <v>1299.9436039352972</v>
      </c>
      <c r="G116" s="85">
        <v>1.3022</v>
      </c>
      <c r="J116">
        <v>33</v>
      </c>
      <c r="K116">
        <v>300</v>
      </c>
      <c r="L116">
        <v>23.91</v>
      </c>
      <c r="M116">
        <v>1.594</v>
      </c>
      <c r="N116">
        <v>5.2</v>
      </c>
      <c r="O116">
        <v>1388</v>
      </c>
      <c r="P116">
        <v>1.3005</v>
      </c>
      <c r="S116">
        <v>33</v>
      </c>
      <c r="T116">
        <v>300</v>
      </c>
      <c r="U116">
        <v>26.535</v>
      </c>
      <c r="V116">
        <v>1.594</v>
      </c>
      <c r="W116">
        <v>5.2</v>
      </c>
      <c r="X116" s="84">
        <v>1299.9436039352972</v>
      </c>
      <c r="Y116" s="85">
        <v>1.3022</v>
      </c>
    </row>
    <row r="117" spans="2:25" ht="12.75">
      <c r="B117">
        <v>400</v>
      </c>
      <c r="C117">
        <f t="shared" si="5"/>
        <v>35.89</v>
      </c>
      <c r="D117">
        <v>1.58</v>
      </c>
      <c r="E117">
        <v>6.47</v>
      </c>
      <c r="F117" s="84">
        <v>1633.6763760109097</v>
      </c>
      <c r="G117" s="85">
        <v>1.307</v>
      </c>
      <c r="K117">
        <v>400</v>
      </c>
      <c r="L117">
        <v>32.39</v>
      </c>
      <c r="M117">
        <v>1.804</v>
      </c>
      <c r="N117">
        <v>6.47</v>
      </c>
      <c r="O117">
        <v>1751</v>
      </c>
      <c r="P117">
        <v>1.3151</v>
      </c>
      <c r="T117">
        <v>400</v>
      </c>
      <c r="U117">
        <v>35.89</v>
      </c>
      <c r="V117">
        <v>1.804</v>
      </c>
      <c r="W117">
        <v>6.47</v>
      </c>
      <c r="X117" s="84">
        <v>1633.6763760109097</v>
      </c>
      <c r="Y117" s="85">
        <v>1.307</v>
      </c>
    </row>
    <row r="118" spans="2:25" ht="12.75">
      <c r="B118">
        <v>500</v>
      </c>
      <c r="C118">
        <f t="shared" si="5"/>
        <v>43.315</v>
      </c>
      <c r="D118">
        <v>1.758</v>
      </c>
      <c r="E118">
        <v>7.73</v>
      </c>
      <c r="F118" s="84">
        <v>1950.5176334485404</v>
      </c>
      <c r="G118" s="85">
        <v>1.3117</v>
      </c>
      <c r="K118">
        <v>500</v>
      </c>
      <c r="L118">
        <v>38.94</v>
      </c>
      <c r="M118">
        <v>2.014</v>
      </c>
      <c r="N118">
        <v>7.73</v>
      </c>
      <c r="O118">
        <v>2091</v>
      </c>
      <c r="P118">
        <v>1.3298</v>
      </c>
      <c r="T118">
        <v>500</v>
      </c>
      <c r="U118">
        <v>43.315</v>
      </c>
      <c r="V118">
        <v>2.014</v>
      </c>
      <c r="W118">
        <v>7.73</v>
      </c>
      <c r="X118" s="84">
        <v>1950.5176334485404</v>
      </c>
      <c r="Y118" s="85">
        <v>1.3117</v>
      </c>
    </row>
    <row r="119" spans="2:25" ht="12.75">
      <c r="B119">
        <v>550</v>
      </c>
      <c r="C119">
        <f t="shared" si="5"/>
        <v>49.0025</v>
      </c>
      <c r="D119">
        <v>1.865</v>
      </c>
      <c r="E119">
        <v>8.15</v>
      </c>
      <c r="F119" s="84">
        <v>2116.0883622592055</v>
      </c>
      <c r="G119" s="85">
        <v>1.3143</v>
      </c>
      <c r="W119">
        <v>8.15</v>
      </c>
      <c r="X119" s="84">
        <v>2116.0883622592055</v>
      </c>
      <c r="Y119" s="85">
        <v>1.3143</v>
      </c>
    </row>
    <row r="120" spans="2:25" ht="12.75">
      <c r="B120">
        <v>600</v>
      </c>
      <c r="C120">
        <f t="shared" si="5"/>
        <v>52.03</v>
      </c>
      <c r="D120">
        <v>1.936</v>
      </c>
      <c r="E120">
        <v>9</v>
      </c>
      <c r="F120" s="84">
        <v>2254.526183695906</v>
      </c>
      <c r="G120" s="85">
        <v>1.3165</v>
      </c>
      <c r="K120">
        <v>600</v>
      </c>
      <c r="L120">
        <v>46.78</v>
      </c>
      <c r="M120">
        <v>2.224</v>
      </c>
      <c r="N120">
        <v>9</v>
      </c>
      <c r="O120">
        <v>2410</v>
      </c>
      <c r="P120">
        <v>1.3444</v>
      </c>
      <c r="T120">
        <v>600</v>
      </c>
      <c r="U120">
        <v>52.03</v>
      </c>
      <c r="V120">
        <v>2.224</v>
      </c>
      <c r="W120">
        <v>9</v>
      </c>
      <c r="X120" s="84">
        <v>2254.526183695906</v>
      </c>
      <c r="Y120" s="85">
        <v>1.3165</v>
      </c>
    </row>
    <row r="121" spans="2:25" ht="12.75">
      <c r="B121">
        <v>900</v>
      </c>
      <c r="C121">
        <f t="shared" si="5"/>
        <v>78.775</v>
      </c>
      <c r="D121">
        <v>2.47</v>
      </c>
      <c r="E121">
        <v>12.6</v>
      </c>
      <c r="F121" s="84">
        <v>3111.515400407707</v>
      </c>
      <c r="G121" s="85">
        <v>1.3346</v>
      </c>
      <c r="K121">
        <v>900</v>
      </c>
      <c r="L121">
        <v>70.9</v>
      </c>
      <c r="M121">
        <v>2.854</v>
      </c>
      <c r="N121">
        <v>12.6</v>
      </c>
      <c r="O121">
        <v>3267</v>
      </c>
      <c r="P121">
        <v>1.358</v>
      </c>
      <c r="T121">
        <v>900</v>
      </c>
      <c r="U121">
        <v>78.775</v>
      </c>
      <c r="V121">
        <v>2.854</v>
      </c>
      <c r="W121">
        <v>12.6</v>
      </c>
      <c r="X121" s="84">
        <v>3111.515400407707</v>
      </c>
      <c r="Y121" s="85">
        <v>1.3346</v>
      </c>
    </row>
  </sheetData>
  <sheetProtection/>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nager>
  <Company>U.S. Steel Košice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KORADcalc 3.55</dc:title>
  <dc:subject>Prepočet a výber panelových radiátorov</dc:subject>
  <dc:creator>pzelenay@sk.uss.com</dc:creator>
  <cp:keywords>radiátory,prevádzkové podmienky, prepočet výkonov</cp:keywords>
  <dc:description>Aplikácia slúži ako pomôcka pri výbere panelových radiátorov. Optimalizované pre rozlíšenie 1280x1024.</dc:description>
  <cp:lastModifiedBy>programmer</cp:lastModifiedBy>
  <cp:lastPrinted>2013-07-15T13:42:37Z</cp:lastPrinted>
  <dcterms:created xsi:type="dcterms:W3CDTF">2006-05-05T05:32:35Z</dcterms:created>
  <dcterms:modified xsi:type="dcterms:W3CDTF">2013-09-25T10:34:34Z</dcterms:modified>
  <cp:category>radiátory</cp:category>
  <cp:version/>
  <cp:contentType/>
  <cp:contentStatus/>
</cp:coreProperties>
</file>